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ichardsDesk/Desktop/Nubold 2015 Order Forms/"/>
    </mc:Choice>
  </mc:AlternateContent>
  <workbookProtection workbookPassword="C41E" lockStructure="1"/>
  <bookViews>
    <workbookView xWindow="10820" yWindow="1340" windowWidth="19480" windowHeight="18420" tabRatio="682" firstSheet="3" activeTab="3"/>
  </bookViews>
  <sheets>
    <sheet name="Info" sheetId="1" state="hidden" r:id="rId1"/>
    <sheet name="Codes" sheetId="2" state="hidden" r:id="rId2"/>
    <sheet name="Routing" sheetId="3" state="hidden" r:id="rId3"/>
    <sheet name="Metric Form" sheetId="5" r:id="rId4"/>
    <sheet name="Summary" sheetId="9" state="hidden" r:id="rId5"/>
    <sheet name="10900" sheetId="7" state="hidden" r:id="rId6"/>
    <sheet name="Shaker" sheetId="8" state="hidden" r:id="rId7"/>
    <sheet name="1300 SERIES" sheetId="10" state="hidden" r:id="rId8"/>
    <sheet name="Moulding" sheetId="6" state="hidden" r:id="rId9"/>
  </sheets>
  <definedNames>
    <definedName name="Backing">Info!$O$2:$O$5</definedName>
    <definedName name="Colours">Info!$C$2:$C$44</definedName>
    <definedName name="Design">Info!$M$2:$M$5</definedName>
    <definedName name="Drawers">Info!$W$2:$W$4</definedName>
    <definedName name="Drilling">Info!$U$2:$U$5</definedName>
    <definedName name="Gables">Info!$Q$2:$Q$7</definedName>
    <definedName name="Laminate">Info!$E$2:$E$38</definedName>
    <definedName name="Lites">Info!$G$2:$G$9</definedName>
    <definedName name="Matching">Info!$I$2:$I$24</definedName>
    <definedName name="Moulding">Info!$Y$2:$Y$16</definedName>
    <definedName name="Options">Info!$K$2:$K$5</definedName>
    <definedName name="PSA">Info!$AA$2:$AA$44</definedName>
    <definedName name="Series">Info!$A$2:$A$36</definedName>
    <definedName name="Valance">Info!$S$2:$S$5</definedName>
    <definedName name="WEGMATCH">Info!$AB$2:$AB$10</definedName>
    <definedName name="WEGMATCH1">Info!$AB$3:$AB$10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0" i="7" l="1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L19" i="7"/>
  <c r="K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F19" i="7"/>
  <c r="E19" i="7"/>
  <c r="Q16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19" i="7"/>
  <c r="D20" i="7"/>
  <c r="D21" i="7"/>
  <c r="D22" i="7"/>
  <c r="D23" i="7"/>
  <c r="W23" i="7"/>
  <c r="X23" i="7"/>
  <c r="D24" i="7"/>
  <c r="D25" i="7"/>
  <c r="D26" i="7"/>
  <c r="D27" i="7"/>
  <c r="D28" i="7"/>
  <c r="D29" i="7"/>
  <c r="D30" i="7"/>
  <c r="D31" i="7"/>
  <c r="W31" i="7"/>
  <c r="X31" i="7"/>
  <c r="D32" i="7"/>
  <c r="D33" i="7"/>
  <c r="D19" i="7"/>
  <c r="Q36" i="7"/>
  <c r="Q37" i="7"/>
  <c r="Q40" i="7"/>
  <c r="D12" i="7"/>
  <c r="N12" i="7"/>
  <c r="P10" i="7"/>
  <c r="D10" i="7"/>
  <c r="D8" i="7"/>
  <c r="B5" i="7"/>
  <c r="W42" i="7"/>
  <c r="X42" i="7"/>
  <c r="V42" i="7"/>
  <c r="W41" i="7"/>
  <c r="X41" i="7"/>
  <c r="V41" i="7"/>
  <c r="AC40" i="7"/>
  <c r="W40" i="7"/>
  <c r="X40" i="7"/>
  <c r="V40" i="7"/>
  <c r="W39" i="7"/>
  <c r="X39" i="7"/>
  <c r="V39" i="7"/>
  <c r="P8" i="7"/>
  <c r="W33" i="7"/>
  <c r="X33" i="7"/>
  <c r="W29" i="7"/>
  <c r="X29" i="7"/>
  <c r="W27" i="7"/>
  <c r="X27" i="7"/>
  <c r="W25" i="7"/>
  <c r="X25" i="7"/>
  <c r="W21" i="7"/>
  <c r="X21" i="7"/>
  <c r="V19" i="7"/>
  <c r="V21" i="7"/>
  <c r="V23" i="7"/>
  <c r="V25" i="7"/>
  <c r="V27" i="7"/>
  <c r="V29" i="7"/>
  <c r="V31" i="7"/>
  <c r="V33" i="7"/>
  <c r="V22" i="7"/>
  <c r="V30" i="7"/>
  <c r="V20" i="7"/>
  <c r="V24" i="7"/>
  <c r="V28" i="7"/>
  <c r="V32" i="7"/>
  <c r="W19" i="7"/>
  <c r="X19" i="7"/>
  <c r="W32" i="7"/>
  <c r="X32" i="7"/>
  <c r="W28" i="7"/>
  <c r="X28" i="7"/>
  <c r="V26" i="7"/>
  <c r="W24" i="7"/>
  <c r="X24" i="7"/>
  <c r="W20" i="7"/>
  <c r="X20" i="7"/>
  <c r="W30" i="7"/>
  <c r="X30" i="7"/>
  <c r="W26" i="7"/>
  <c r="X26" i="7"/>
  <c r="W22" i="7"/>
  <c r="X22" i="7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L19" i="10"/>
  <c r="K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F19" i="10"/>
  <c r="E19" i="10"/>
  <c r="Q16" i="10"/>
  <c r="O20" i="10"/>
  <c r="AD20" i="10"/>
  <c r="O21" i="10"/>
  <c r="O22" i="10"/>
  <c r="O23" i="10"/>
  <c r="O24" i="10"/>
  <c r="O25" i="10"/>
  <c r="O26" i="10"/>
  <c r="O27" i="10"/>
  <c r="O28" i="10"/>
  <c r="AD28" i="10"/>
  <c r="O29" i="10"/>
  <c r="O30" i="10"/>
  <c r="O31" i="10"/>
  <c r="O32" i="10"/>
  <c r="O33" i="10"/>
  <c r="O19" i="10"/>
  <c r="AE19" i="10"/>
  <c r="AF19" i="10"/>
  <c r="AG19" i="10"/>
  <c r="AG34" i="10"/>
  <c r="J20" i="10"/>
  <c r="J21" i="10"/>
  <c r="AA21" i="10"/>
  <c r="AB21" i="10"/>
  <c r="AC21" i="10"/>
  <c r="Z21" i="10"/>
  <c r="J22" i="10"/>
  <c r="J23" i="10"/>
  <c r="J24" i="10"/>
  <c r="J25" i="10"/>
  <c r="J26" i="10"/>
  <c r="Z26" i="10"/>
  <c r="J27" i="10"/>
  <c r="J28" i="10"/>
  <c r="J29" i="10"/>
  <c r="J30" i="10"/>
  <c r="J31" i="10"/>
  <c r="J32" i="10"/>
  <c r="J33" i="10"/>
  <c r="J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19" i="10"/>
  <c r="N12" i="10"/>
  <c r="P10" i="10"/>
  <c r="D12" i="10"/>
  <c r="D10" i="10"/>
  <c r="D8" i="10"/>
  <c r="B5" i="10"/>
  <c r="AA41" i="10"/>
  <c r="AB41" i="10"/>
  <c r="AC41" i="10"/>
  <c r="Z41" i="10"/>
  <c r="W41" i="10"/>
  <c r="X41" i="10"/>
  <c r="Y41" i="10"/>
  <c r="V41" i="10"/>
  <c r="W38" i="10"/>
  <c r="X38" i="10"/>
  <c r="Y38" i="10"/>
  <c r="V38" i="10"/>
  <c r="AA36" i="10"/>
  <c r="AB36" i="10"/>
  <c r="AC36" i="10"/>
  <c r="AC37" i="10"/>
  <c r="W37" i="10"/>
  <c r="X37" i="10"/>
  <c r="Y37" i="10"/>
  <c r="V37" i="10"/>
  <c r="Z36" i="10"/>
  <c r="W36" i="10"/>
  <c r="X36" i="10"/>
  <c r="Y36" i="10"/>
  <c r="V36" i="10"/>
  <c r="AE30" i="10"/>
  <c r="AF30" i="10"/>
  <c r="AG30" i="10"/>
  <c r="AE33" i="10"/>
  <c r="AF33" i="10"/>
  <c r="AG33" i="10"/>
  <c r="AD33" i="10"/>
  <c r="AE32" i="10"/>
  <c r="AF32" i="10"/>
  <c r="AG32" i="10"/>
  <c r="AD32" i="10"/>
  <c r="AE31" i="10"/>
  <c r="AF31" i="10"/>
  <c r="AG31" i="10"/>
  <c r="AD31" i="10"/>
  <c r="AD30" i="10"/>
  <c r="AD24" i="10"/>
  <c r="P8" i="10"/>
  <c r="W33" i="10"/>
  <c r="X33" i="10"/>
  <c r="Y33" i="10"/>
  <c r="V33" i="10"/>
  <c r="W31" i="10"/>
  <c r="X31" i="10"/>
  <c r="Y31" i="10"/>
  <c r="V31" i="10"/>
  <c r="W29" i="10"/>
  <c r="X29" i="10"/>
  <c r="Y29" i="10"/>
  <c r="V29" i="10"/>
  <c r="W27" i="10"/>
  <c r="X27" i="10"/>
  <c r="Y27" i="10"/>
  <c r="V27" i="10"/>
  <c r="W25" i="10"/>
  <c r="X25" i="10"/>
  <c r="Y25" i="10"/>
  <c r="V25" i="10"/>
  <c r="W23" i="10"/>
  <c r="X23" i="10"/>
  <c r="Y23" i="10"/>
  <c r="V23" i="10"/>
  <c r="W21" i="10"/>
  <c r="X21" i="10"/>
  <c r="Y21" i="10"/>
  <c r="V21" i="10"/>
  <c r="AA28" i="10"/>
  <c r="AB28" i="10"/>
  <c r="AC28" i="10"/>
  <c r="Z28" i="10"/>
  <c r="AA24" i="10"/>
  <c r="AB24" i="10"/>
  <c r="AC24" i="10"/>
  <c r="Z24" i="10"/>
  <c r="AA20" i="10"/>
  <c r="AB20" i="10"/>
  <c r="AC20" i="10"/>
  <c r="Z20" i="10"/>
  <c r="AE29" i="10"/>
  <c r="AF29" i="10"/>
  <c r="AG29" i="10"/>
  <c r="AD29" i="10"/>
  <c r="AE25" i="10"/>
  <c r="AF25" i="10"/>
  <c r="AG25" i="10"/>
  <c r="AD25" i="10"/>
  <c r="AE21" i="10"/>
  <c r="AF21" i="10"/>
  <c r="AG21" i="10"/>
  <c r="AD21" i="10"/>
  <c r="W30" i="10"/>
  <c r="X30" i="10"/>
  <c r="Y30" i="10"/>
  <c r="W26" i="10"/>
  <c r="X26" i="10"/>
  <c r="Y26" i="10"/>
  <c r="W22" i="10"/>
  <c r="X22" i="10"/>
  <c r="Y22" i="10"/>
  <c r="AA31" i="10"/>
  <c r="AB31" i="10"/>
  <c r="AC31" i="10"/>
  <c r="AA27" i="10"/>
  <c r="AB27" i="10"/>
  <c r="AC27" i="10"/>
  <c r="AA23" i="10"/>
  <c r="AB23" i="10"/>
  <c r="AC23" i="10"/>
  <c r="J34" i="10"/>
  <c r="AE26" i="10"/>
  <c r="AF26" i="10"/>
  <c r="AG26" i="10"/>
  <c r="AE22" i="10"/>
  <c r="AF22" i="10"/>
  <c r="AG22" i="10"/>
  <c r="Z32" i="10"/>
  <c r="AE23" i="10"/>
  <c r="AF23" i="10"/>
  <c r="AG23" i="10"/>
  <c r="AA30" i="10"/>
  <c r="AB30" i="10"/>
  <c r="AC30" i="10"/>
  <c r="AA22" i="10"/>
  <c r="AB22" i="10"/>
  <c r="AC22" i="10"/>
  <c r="W19" i="10"/>
  <c r="X19" i="10"/>
  <c r="Y19" i="10"/>
  <c r="Y34" i="10"/>
  <c r="V19" i="10"/>
  <c r="W28" i="10"/>
  <c r="X28" i="10"/>
  <c r="Y28" i="10"/>
  <c r="V24" i="10"/>
  <c r="V22" i="10"/>
  <c r="AA19" i="10"/>
  <c r="AB19" i="10"/>
  <c r="AC19" i="10"/>
  <c r="Z29" i="10"/>
  <c r="AD26" i="10"/>
  <c r="W20" i="10"/>
  <c r="X20" i="10"/>
  <c r="Y20" i="10"/>
  <c r="AE28" i="10"/>
  <c r="AF28" i="10"/>
  <c r="AG28" i="10"/>
  <c r="V28" i="10"/>
  <c r="Z25" i="10"/>
  <c r="V32" i="10"/>
  <c r="V20" i="10"/>
  <c r="AE27" i="10"/>
  <c r="AF27" i="10"/>
  <c r="AG27" i="10"/>
  <c r="Z23" i="10"/>
  <c r="AE24" i="10"/>
  <c r="AF24" i="10"/>
  <c r="AG24" i="10"/>
  <c r="W24" i="10"/>
  <c r="X24" i="10"/>
  <c r="Y24" i="10"/>
  <c r="Z33" i="10"/>
  <c r="AA32" i="10"/>
  <c r="AB32" i="10"/>
  <c r="AC32" i="10"/>
  <c r="AC34" i="10"/>
  <c r="D34" i="10"/>
  <c r="Q37" i="10"/>
  <c r="W32" i="10"/>
  <c r="X32" i="10"/>
  <c r="Y32" i="10"/>
  <c r="AD19" i="10"/>
  <c r="AD22" i="10"/>
  <c r="AA33" i="10"/>
  <c r="AB33" i="10"/>
  <c r="AC33" i="10"/>
  <c r="Z30" i="10"/>
  <c r="AA29" i="10"/>
  <c r="AB29" i="10"/>
  <c r="AC29" i="10"/>
  <c r="Z27" i="10"/>
  <c r="Z22" i="10"/>
  <c r="Q38" i="10"/>
  <c r="Z19" i="10"/>
  <c r="V30" i="10"/>
  <c r="V26" i="10"/>
  <c r="Z31" i="10"/>
  <c r="AA26" i="10"/>
  <c r="AB26" i="10"/>
  <c r="AC26" i="10"/>
  <c r="AA25" i="10"/>
  <c r="AB25" i="10"/>
  <c r="AC25" i="10"/>
  <c r="AD27" i="10"/>
  <c r="AD23" i="10"/>
  <c r="AE20" i="10"/>
  <c r="AF20" i="10"/>
  <c r="AG20" i="10"/>
  <c r="Q39" i="10"/>
  <c r="G57" i="2"/>
  <c r="G58" i="2"/>
  <c r="G59" i="2"/>
  <c r="G60" i="2"/>
  <c r="G61" i="2"/>
  <c r="G56" i="2"/>
  <c r="E61" i="2"/>
  <c r="E57" i="2"/>
  <c r="E58" i="2"/>
  <c r="E59" i="2"/>
  <c r="E60" i="2"/>
  <c r="E56" i="2"/>
  <c r="L13" i="2"/>
  <c r="K13" i="2"/>
  <c r="B54" i="2"/>
  <c r="E54" i="2"/>
  <c r="G50" i="2"/>
  <c r="G53" i="2"/>
  <c r="G52" i="2"/>
  <c r="C51" i="2"/>
  <c r="C50" i="2"/>
  <c r="G55" i="2"/>
  <c r="G54" i="2"/>
  <c r="G51" i="2"/>
  <c r="E51" i="2"/>
  <c r="E52" i="2"/>
  <c r="E53" i="2"/>
  <c r="E50" i="2"/>
  <c r="C52" i="2"/>
  <c r="B59" i="2"/>
  <c r="B55" i="2"/>
  <c r="B57" i="2"/>
  <c r="K22" i="2"/>
  <c r="L26" i="2"/>
  <c r="B58" i="2"/>
  <c r="L20" i="2"/>
  <c r="K11" i="2"/>
  <c r="K4" i="2"/>
  <c r="L18" i="2"/>
  <c r="L38" i="2"/>
  <c r="K15" i="2"/>
  <c r="K39" i="2"/>
  <c r="K17" i="2"/>
  <c r="L21" i="2"/>
  <c r="K18" i="2"/>
  <c r="K37" i="2"/>
  <c r="K12" i="2"/>
  <c r="K27" i="2"/>
  <c r="K10" i="2"/>
  <c r="L5" i="2"/>
  <c r="L22" i="2"/>
  <c r="L37" i="2"/>
  <c r="L9" i="2"/>
  <c r="K41" i="2"/>
  <c r="K38" i="2"/>
  <c r="L3" i="2"/>
  <c r="K25" i="2"/>
  <c r="K5" i="2"/>
  <c r="K23" i="2"/>
  <c r="K3" i="2"/>
  <c r="L17" i="2"/>
  <c r="L14" i="2"/>
  <c r="K24" i="2"/>
  <c r="K36" i="2"/>
  <c r="K14" i="2"/>
  <c r="L23" i="2"/>
  <c r="K21" i="2"/>
  <c r="K19" i="2"/>
  <c r="L25" i="2"/>
  <c r="L12" i="2"/>
  <c r="K16" i="2"/>
  <c r="K20" i="2"/>
  <c r="K9" i="2"/>
  <c r="K42" i="2"/>
  <c r="L30" i="2"/>
  <c r="K30" i="2"/>
  <c r="L42" i="2"/>
  <c r="K26" i="2"/>
  <c r="L15" i="2"/>
  <c r="L19" i="2"/>
  <c r="L39" i="2"/>
  <c r="L36" i="2"/>
  <c r="L4" i="2"/>
  <c r="L24" i="2"/>
  <c r="L10" i="2"/>
  <c r="L16" i="2"/>
  <c r="L27" i="2"/>
  <c r="L41" i="2"/>
  <c r="L11" i="2"/>
  <c r="O2" i="5"/>
  <c r="I53" i="5"/>
  <c r="Q52" i="5"/>
  <c r="F53" i="5"/>
  <c r="E53" i="5"/>
  <c r="D39" i="5"/>
  <c r="J39" i="5"/>
  <c r="Q45" i="5"/>
  <c r="Q46" i="5"/>
  <c r="Q47" i="5"/>
  <c r="Q39" i="5"/>
  <c r="P39" i="5"/>
  <c r="L39" i="5"/>
  <c r="K39" i="5"/>
  <c r="F39" i="5"/>
  <c r="E39" i="5"/>
  <c r="Q44" i="5"/>
  <c r="Q50" i="5"/>
  <c r="G45" i="6"/>
  <c r="G46" i="6"/>
  <c r="Q16" i="6"/>
  <c r="D45" i="6"/>
  <c r="E45" i="6"/>
  <c r="F45" i="6"/>
  <c r="D46" i="6"/>
  <c r="E46" i="6"/>
  <c r="F46" i="6"/>
  <c r="D47" i="6"/>
  <c r="E47" i="6"/>
  <c r="F47" i="6"/>
  <c r="F44" i="6"/>
  <c r="E44" i="6"/>
  <c r="D44" i="6"/>
  <c r="D40" i="6"/>
  <c r="E40" i="6"/>
  <c r="F40" i="6"/>
  <c r="W47" i="6"/>
  <c r="X47" i="6"/>
  <c r="D41" i="6"/>
  <c r="E41" i="6"/>
  <c r="F41" i="6"/>
  <c r="D42" i="6"/>
  <c r="E42" i="6"/>
  <c r="F42" i="6"/>
  <c r="F39" i="6"/>
  <c r="E39" i="6"/>
  <c r="D39" i="6"/>
  <c r="O20" i="6"/>
  <c r="P20" i="6"/>
  <c r="Q20" i="6"/>
  <c r="O21" i="6"/>
  <c r="P21" i="6"/>
  <c r="Q21" i="6"/>
  <c r="O22" i="6"/>
  <c r="P22" i="6"/>
  <c r="Q22" i="6"/>
  <c r="O23" i="6"/>
  <c r="P23" i="6"/>
  <c r="Q23" i="6"/>
  <c r="O24" i="6"/>
  <c r="P24" i="6"/>
  <c r="Q24" i="6"/>
  <c r="O25" i="6"/>
  <c r="P25" i="6"/>
  <c r="Q25" i="6"/>
  <c r="O26" i="6"/>
  <c r="P26" i="6"/>
  <c r="Q26" i="6"/>
  <c r="O27" i="6"/>
  <c r="P27" i="6"/>
  <c r="Q27" i="6"/>
  <c r="O28" i="6"/>
  <c r="P28" i="6"/>
  <c r="Q28" i="6"/>
  <c r="O29" i="6"/>
  <c r="P29" i="6"/>
  <c r="Q29" i="6"/>
  <c r="O30" i="6"/>
  <c r="P30" i="6"/>
  <c r="Q30" i="6"/>
  <c r="O31" i="6"/>
  <c r="P31" i="6"/>
  <c r="Q31" i="6"/>
  <c r="O32" i="6"/>
  <c r="P32" i="6"/>
  <c r="Q32" i="6"/>
  <c r="O33" i="6"/>
  <c r="P33" i="6"/>
  <c r="Q33" i="6"/>
  <c r="Q19" i="6"/>
  <c r="P19" i="6"/>
  <c r="O19" i="6"/>
  <c r="J20" i="6"/>
  <c r="K20" i="6"/>
  <c r="L20" i="6"/>
  <c r="J21" i="6"/>
  <c r="K21" i="6"/>
  <c r="L21" i="6"/>
  <c r="J22" i="6"/>
  <c r="K22" i="6"/>
  <c r="L22" i="6"/>
  <c r="J23" i="6"/>
  <c r="K23" i="6"/>
  <c r="L23" i="6"/>
  <c r="J24" i="6"/>
  <c r="K24" i="6"/>
  <c r="L24" i="6"/>
  <c r="J25" i="6"/>
  <c r="K25" i="6"/>
  <c r="L25" i="6"/>
  <c r="J26" i="6"/>
  <c r="K26" i="6"/>
  <c r="L26" i="6"/>
  <c r="J27" i="6"/>
  <c r="K27" i="6"/>
  <c r="L27" i="6"/>
  <c r="J28" i="6"/>
  <c r="K28" i="6"/>
  <c r="L28" i="6"/>
  <c r="J29" i="6"/>
  <c r="K29" i="6"/>
  <c r="L29" i="6"/>
  <c r="J30" i="6"/>
  <c r="K30" i="6"/>
  <c r="L30" i="6"/>
  <c r="J31" i="6"/>
  <c r="K31" i="6"/>
  <c r="L31" i="6"/>
  <c r="J32" i="6"/>
  <c r="K32" i="6"/>
  <c r="L32" i="6"/>
  <c r="J33" i="6"/>
  <c r="K33" i="6"/>
  <c r="L33" i="6"/>
  <c r="L19" i="6"/>
  <c r="K19" i="6"/>
  <c r="J19" i="6"/>
  <c r="D20" i="6"/>
  <c r="E20" i="6"/>
  <c r="F20" i="6"/>
  <c r="D21" i="6"/>
  <c r="E21" i="6"/>
  <c r="F21" i="6"/>
  <c r="D22" i="6"/>
  <c r="E22" i="6"/>
  <c r="F22" i="6"/>
  <c r="D23" i="6"/>
  <c r="E23" i="6"/>
  <c r="F23" i="6"/>
  <c r="D24" i="6"/>
  <c r="E24" i="6"/>
  <c r="F24" i="6"/>
  <c r="D25" i="6"/>
  <c r="E25" i="6"/>
  <c r="F25" i="6"/>
  <c r="D26" i="6"/>
  <c r="E26" i="6"/>
  <c r="F26" i="6"/>
  <c r="D27" i="6"/>
  <c r="E27" i="6"/>
  <c r="F27" i="6"/>
  <c r="D28" i="6"/>
  <c r="E28" i="6"/>
  <c r="F28" i="6"/>
  <c r="D29" i="6"/>
  <c r="E29" i="6"/>
  <c r="F29" i="6"/>
  <c r="D30" i="6"/>
  <c r="E30" i="6"/>
  <c r="F30" i="6"/>
  <c r="D31" i="6"/>
  <c r="E31" i="6"/>
  <c r="F31" i="6"/>
  <c r="D32" i="6"/>
  <c r="E32" i="6"/>
  <c r="F32" i="6"/>
  <c r="D33" i="6"/>
  <c r="E33" i="6"/>
  <c r="F33" i="6"/>
  <c r="F19" i="6"/>
  <c r="E19" i="6"/>
  <c r="D19" i="6"/>
  <c r="Q36" i="6"/>
  <c r="Q37" i="6"/>
  <c r="Q38" i="6"/>
  <c r="Q42" i="6"/>
  <c r="N12" i="6"/>
  <c r="P10" i="6"/>
  <c r="D12" i="6"/>
  <c r="D10" i="6"/>
  <c r="D8" i="6"/>
  <c r="B5" i="6"/>
  <c r="W41" i="6"/>
  <c r="X41" i="6"/>
  <c r="V41" i="6"/>
  <c r="AC40" i="6"/>
  <c r="W40" i="6"/>
  <c r="X40" i="6"/>
  <c r="V40" i="6"/>
  <c r="W39" i="6"/>
  <c r="X39" i="6"/>
  <c r="V39" i="6"/>
  <c r="P8" i="6"/>
  <c r="W27" i="6"/>
  <c r="X27" i="6"/>
  <c r="V27" i="6"/>
  <c r="W23" i="6"/>
  <c r="X23" i="6"/>
  <c r="V23" i="6"/>
  <c r="G44" i="6"/>
  <c r="W32" i="6"/>
  <c r="X32" i="6"/>
  <c r="W30" i="6"/>
  <c r="X30" i="6"/>
  <c r="W28" i="6"/>
  <c r="X28" i="6"/>
  <c r="W24" i="6"/>
  <c r="X24" i="6"/>
  <c r="W20" i="6"/>
  <c r="X20" i="6"/>
  <c r="V33" i="6"/>
  <c r="W33" i="6"/>
  <c r="X33" i="6"/>
  <c r="V31" i="6"/>
  <c r="W31" i="6"/>
  <c r="X31" i="6"/>
  <c r="V29" i="6"/>
  <c r="W29" i="6"/>
  <c r="X29" i="6"/>
  <c r="W19" i="6"/>
  <c r="X19" i="6"/>
  <c r="V32" i="6"/>
  <c r="V24" i="6"/>
  <c r="W22" i="6"/>
  <c r="X22" i="6"/>
  <c r="V25" i="6"/>
  <c r="G47" i="6"/>
  <c r="V28" i="6"/>
  <c r="V20" i="6"/>
  <c r="W21" i="6"/>
  <c r="X21" i="6"/>
  <c r="V30" i="6"/>
  <c r="W25" i="6"/>
  <c r="X25" i="6"/>
  <c r="V22" i="6"/>
  <c r="V47" i="6"/>
  <c r="W26" i="6"/>
  <c r="X26" i="6"/>
  <c r="V26" i="6"/>
  <c r="V21" i="6"/>
  <c r="V19" i="6"/>
  <c r="R64" i="3"/>
  <c r="R65" i="3"/>
  <c r="R66" i="3"/>
  <c r="R67" i="3"/>
  <c r="R68" i="3"/>
  <c r="R63" i="3"/>
  <c r="Z61" i="3"/>
  <c r="Y61" i="3"/>
  <c r="X3" i="3"/>
  <c r="T7" i="3"/>
  <c r="Q3" i="3"/>
  <c r="F61" i="3"/>
  <c r="B61" i="3"/>
  <c r="D61" i="3"/>
  <c r="A61" i="3"/>
  <c r="C61" i="3"/>
  <c r="W68" i="3"/>
  <c r="V19" i="3"/>
  <c r="V50" i="3"/>
  <c r="AA34" i="3"/>
  <c r="U52" i="3"/>
  <c r="W64" i="3"/>
  <c r="W67" i="3"/>
  <c r="W63" i="3"/>
  <c r="G60" i="3"/>
  <c r="O60" i="3"/>
  <c r="V41" i="3"/>
  <c r="Z68" i="3"/>
  <c r="Y68" i="3"/>
  <c r="F64" i="3"/>
  <c r="F65" i="3"/>
  <c r="F66" i="3"/>
  <c r="F67" i="3"/>
  <c r="F68" i="3"/>
  <c r="F63" i="3"/>
  <c r="A64" i="3"/>
  <c r="C64" i="3"/>
  <c r="B64" i="3"/>
  <c r="D64" i="3"/>
  <c r="A65" i="3"/>
  <c r="C65" i="3"/>
  <c r="B65" i="3"/>
  <c r="D65" i="3"/>
  <c r="A66" i="3"/>
  <c r="C66" i="3"/>
  <c r="B66" i="3"/>
  <c r="D66" i="3"/>
  <c r="A67" i="3"/>
  <c r="C67" i="3"/>
  <c r="B67" i="3"/>
  <c r="D67" i="3"/>
  <c r="A68" i="3"/>
  <c r="C68" i="3"/>
  <c r="B68" i="3"/>
  <c r="D68" i="3"/>
  <c r="B63" i="3"/>
  <c r="A63" i="3"/>
  <c r="AA50" i="3"/>
  <c r="AA46" i="3"/>
  <c r="AA16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50" i="3"/>
  <c r="Y51" i="3"/>
  <c r="Y52" i="3"/>
  <c r="Y53" i="3"/>
  <c r="Y55" i="3"/>
  <c r="Y56" i="3"/>
  <c r="Y57" i="3"/>
  <c r="Y58" i="3"/>
  <c r="Y60" i="3"/>
  <c r="Y63" i="3"/>
  <c r="Y64" i="3"/>
  <c r="Y65" i="3"/>
  <c r="Y66" i="3"/>
  <c r="Y67" i="3"/>
  <c r="Y2" i="3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X50" i="3"/>
  <c r="Z50" i="3"/>
  <c r="Z51" i="3"/>
  <c r="Z52" i="3"/>
  <c r="Z53" i="3"/>
  <c r="Z55" i="3"/>
  <c r="Z56" i="3"/>
  <c r="Z57" i="3"/>
  <c r="Z58" i="3"/>
  <c r="Z60" i="3"/>
  <c r="Z63" i="3"/>
  <c r="Z64" i="3"/>
  <c r="Z65" i="3"/>
  <c r="Z66" i="3"/>
  <c r="Z67" i="3"/>
  <c r="Z2" i="3"/>
  <c r="W65" i="3"/>
  <c r="W66" i="3"/>
  <c r="V27" i="3"/>
  <c r="T66" i="3"/>
  <c r="T67" i="3"/>
  <c r="T19" i="3"/>
  <c r="T53" i="3"/>
  <c r="T58" i="3"/>
  <c r="Q20" i="3"/>
  <c r="Q55" i="3"/>
  <c r="P5" i="3"/>
  <c r="P8" i="3"/>
  <c r="P30" i="3"/>
  <c r="P47" i="3"/>
  <c r="I10" i="3"/>
  <c r="I12" i="3"/>
  <c r="H34" i="3"/>
  <c r="H38" i="3"/>
  <c r="H40" i="3"/>
  <c r="I52" i="3"/>
  <c r="H55" i="3"/>
  <c r="H58" i="3"/>
  <c r="G57" i="3"/>
  <c r="W57" i="3"/>
  <c r="F60" i="3"/>
  <c r="F56" i="3"/>
  <c r="F57" i="3"/>
  <c r="F58" i="3"/>
  <c r="F55" i="3"/>
  <c r="F51" i="3"/>
  <c r="F52" i="3"/>
  <c r="F53" i="3"/>
  <c r="F50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34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18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2" i="3"/>
  <c r="B60" i="3"/>
  <c r="D60" i="3"/>
  <c r="A60" i="3"/>
  <c r="C60" i="3"/>
  <c r="A56" i="3"/>
  <c r="C56" i="3"/>
  <c r="B56" i="3"/>
  <c r="D56" i="3"/>
  <c r="A57" i="3"/>
  <c r="C57" i="3"/>
  <c r="B57" i="3"/>
  <c r="D57" i="3"/>
  <c r="A58" i="3"/>
  <c r="C58" i="3"/>
  <c r="B58" i="3"/>
  <c r="D58" i="3"/>
  <c r="B55" i="3"/>
  <c r="D55" i="3"/>
  <c r="A55" i="3"/>
  <c r="C55" i="3"/>
  <c r="A51" i="3"/>
  <c r="C51" i="3"/>
  <c r="B51" i="3"/>
  <c r="D51" i="3"/>
  <c r="A52" i="3"/>
  <c r="C52" i="3"/>
  <c r="B52" i="3"/>
  <c r="D52" i="3"/>
  <c r="A53" i="3"/>
  <c r="C53" i="3"/>
  <c r="B53" i="3"/>
  <c r="D53" i="3"/>
  <c r="B50" i="3"/>
  <c r="D50" i="3"/>
  <c r="A50" i="3"/>
  <c r="C50" i="3"/>
  <c r="A35" i="3"/>
  <c r="C35" i="3"/>
  <c r="B35" i="3"/>
  <c r="D35" i="3"/>
  <c r="A36" i="3"/>
  <c r="C36" i="3"/>
  <c r="B36" i="3"/>
  <c r="D36" i="3"/>
  <c r="A37" i="3"/>
  <c r="C37" i="3"/>
  <c r="B37" i="3"/>
  <c r="D37" i="3"/>
  <c r="A38" i="3"/>
  <c r="C38" i="3"/>
  <c r="B38" i="3"/>
  <c r="D38" i="3"/>
  <c r="A39" i="3"/>
  <c r="C39" i="3"/>
  <c r="B39" i="3"/>
  <c r="D39" i="3"/>
  <c r="A40" i="3"/>
  <c r="C40" i="3"/>
  <c r="B40" i="3"/>
  <c r="D40" i="3"/>
  <c r="A41" i="3"/>
  <c r="C41" i="3"/>
  <c r="B41" i="3"/>
  <c r="D41" i="3"/>
  <c r="A42" i="3"/>
  <c r="C42" i="3"/>
  <c r="B42" i="3"/>
  <c r="D42" i="3"/>
  <c r="A43" i="3"/>
  <c r="C43" i="3"/>
  <c r="B43" i="3"/>
  <c r="D43" i="3"/>
  <c r="A44" i="3"/>
  <c r="C44" i="3"/>
  <c r="B44" i="3"/>
  <c r="D44" i="3"/>
  <c r="A45" i="3"/>
  <c r="C45" i="3"/>
  <c r="B45" i="3"/>
  <c r="D45" i="3"/>
  <c r="A46" i="3"/>
  <c r="C46" i="3"/>
  <c r="B46" i="3"/>
  <c r="D46" i="3"/>
  <c r="A47" i="3"/>
  <c r="C47" i="3"/>
  <c r="B47" i="3"/>
  <c r="A48" i="3"/>
  <c r="C48" i="3"/>
  <c r="B48" i="3"/>
  <c r="B34" i="3"/>
  <c r="D34" i="3"/>
  <c r="A34" i="3"/>
  <c r="C34" i="3"/>
  <c r="A19" i="3"/>
  <c r="C19" i="3"/>
  <c r="B19" i="3"/>
  <c r="D19" i="3"/>
  <c r="A20" i="3"/>
  <c r="C20" i="3"/>
  <c r="B20" i="3"/>
  <c r="D20" i="3"/>
  <c r="A21" i="3"/>
  <c r="C21" i="3"/>
  <c r="B21" i="3"/>
  <c r="D21" i="3"/>
  <c r="A22" i="3"/>
  <c r="C22" i="3"/>
  <c r="B22" i="3"/>
  <c r="D22" i="3"/>
  <c r="A23" i="3"/>
  <c r="C23" i="3"/>
  <c r="B23" i="3"/>
  <c r="D23" i="3"/>
  <c r="A24" i="3"/>
  <c r="C24" i="3"/>
  <c r="B24" i="3"/>
  <c r="D24" i="3"/>
  <c r="A25" i="3"/>
  <c r="C25" i="3"/>
  <c r="B25" i="3"/>
  <c r="D25" i="3"/>
  <c r="A26" i="3"/>
  <c r="C26" i="3"/>
  <c r="B26" i="3"/>
  <c r="D26" i="3"/>
  <c r="A27" i="3"/>
  <c r="C27" i="3"/>
  <c r="B27" i="3"/>
  <c r="D27" i="3"/>
  <c r="A28" i="3"/>
  <c r="C28" i="3"/>
  <c r="B28" i="3"/>
  <c r="D28" i="3"/>
  <c r="A29" i="3"/>
  <c r="C29" i="3"/>
  <c r="B29" i="3"/>
  <c r="D29" i="3"/>
  <c r="A30" i="3"/>
  <c r="C30" i="3"/>
  <c r="B30" i="3"/>
  <c r="D30" i="3"/>
  <c r="A31" i="3"/>
  <c r="C31" i="3"/>
  <c r="B31" i="3"/>
  <c r="D31" i="3"/>
  <c r="A32" i="3"/>
  <c r="C32" i="3"/>
  <c r="B32" i="3"/>
  <c r="D32" i="3"/>
  <c r="B18" i="3"/>
  <c r="D18" i="3"/>
  <c r="A18" i="3"/>
  <c r="A3" i="3"/>
  <c r="C3" i="3"/>
  <c r="B3" i="3"/>
  <c r="D3" i="3"/>
  <c r="A4" i="3"/>
  <c r="C4" i="3"/>
  <c r="B4" i="3"/>
  <c r="D4" i="3"/>
  <c r="A5" i="3"/>
  <c r="C5" i="3"/>
  <c r="B5" i="3"/>
  <c r="D5" i="3"/>
  <c r="A6" i="3"/>
  <c r="C6" i="3"/>
  <c r="B6" i="3"/>
  <c r="D6" i="3"/>
  <c r="A7" i="3"/>
  <c r="C7" i="3"/>
  <c r="B7" i="3"/>
  <c r="D7" i="3"/>
  <c r="A8" i="3"/>
  <c r="C8" i="3"/>
  <c r="B8" i="3"/>
  <c r="D8" i="3"/>
  <c r="A9" i="3"/>
  <c r="C9" i="3"/>
  <c r="B9" i="3"/>
  <c r="D9" i="3"/>
  <c r="A10" i="3"/>
  <c r="C10" i="3"/>
  <c r="B10" i="3"/>
  <c r="D10" i="3"/>
  <c r="A11" i="3"/>
  <c r="C11" i="3"/>
  <c r="B11" i="3"/>
  <c r="D11" i="3"/>
  <c r="A12" i="3"/>
  <c r="C12" i="3"/>
  <c r="B12" i="3"/>
  <c r="D12" i="3"/>
  <c r="A13" i="3"/>
  <c r="C13" i="3"/>
  <c r="B13" i="3"/>
  <c r="D13" i="3"/>
  <c r="A14" i="3"/>
  <c r="C14" i="3"/>
  <c r="B14" i="3"/>
  <c r="D14" i="3"/>
  <c r="A15" i="3"/>
  <c r="C15" i="3"/>
  <c r="B15" i="3"/>
  <c r="D15" i="3"/>
  <c r="A16" i="3"/>
  <c r="C16" i="3"/>
  <c r="B16" i="3"/>
  <c r="D16" i="3"/>
  <c r="B2" i="3"/>
  <c r="D2" i="3"/>
  <c r="A2" i="3"/>
  <c r="C2" i="3"/>
  <c r="D63" i="3"/>
  <c r="C63" i="3"/>
  <c r="K59" i="3"/>
  <c r="D48" i="3"/>
  <c r="D47" i="3"/>
  <c r="K33" i="3"/>
  <c r="C18" i="3"/>
  <c r="V48" i="3"/>
  <c r="V46" i="3"/>
  <c r="V44" i="3"/>
  <c r="V42" i="3"/>
  <c r="V40" i="3"/>
  <c r="V38" i="3"/>
  <c r="V36" i="3"/>
  <c r="V34" i="3"/>
  <c r="AA51" i="3"/>
  <c r="AA53" i="3"/>
  <c r="AA56" i="3"/>
  <c r="AA58" i="3"/>
  <c r="AA35" i="3"/>
  <c r="AA37" i="3"/>
  <c r="AA39" i="3"/>
  <c r="AA41" i="3"/>
  <c r="AA43" i="3"/>
  <c r="AA45" i="3"/>
  <c r="AA47" i="3"/>
  <c r="AA3" i="3"/>
  <c r="AA5" i="3"/>
  <c r="AA7" i="3"/>
  <c r="AA9" i="3"/>
  <c r="AA11" i="3"/>
  <c r="AA13" i="3"/>
  <c r="AA15" i="3"/>
  <c r="AA18" i="3"/>
  <c r="AA20" i="3"/>
  <c r="AA22" i="3"/>
  <c r="AA24" i="3"/>
  <c r="AA26" i="3"/>
  <c r="AA28" i="3"/>
  <c r="AA30" i="3"/>
  <c r="AA32" i="3"/>
  <c r="E52" i="3"/>
  <c r="AB52" i="3"/>
  <c r="V52" i="3"/>
  <c r="V15" i="3"/>
  <c r="V2" i="3"/>
  <c r="V61" i="3"/>
  <c r="V22" i="3"/>
  <c r="V24" i="3"/>
  <c r="V30" i="3"/>
  <c r="V32" i="3"/>
  <c r="G55" i="3"/>
  <c r="W55" i="3"/>
  <c r="V16" i="3"/>
  <c r="V12" i="3"/>
  <c r="AA31" i="3"/>
  <c r="AA27" i="3"/>
  <c r="AA23" i="3"/>
  <c r="AA19" i="3"/>
  <c r="AA14" i="3"/>
  <c r="AA10" i="3"/>
  <c r="AA6" i="3"/>
  <c r="AA48" i="3"/>
  <c r="AA44" i="3"/>
  <c r="AA40" i="3"/>
  <c r="AA36" i="3"/>
  <c r="AA57" i="3"/>
  <c r="AA52" i="3"/>
  <c r="V35" i="3"/>
  <c r="V39" i="3"/>
  <c r="V43" i="3"/>
  <c r="V47" i="3"/>
  <c r="R2" i="3"/>
  <c r="S2" i="3"/>
  <c r="R57" i="3"/>
  <c r="R52" i="3"/>
  <c r="S52" i="3"/>
  <c r="R47" i="3"/>
  <c r="R43" i="3"/>
  <c r="R39" i="3"/>
  <c r="R35" i="3"/>
  <c r="R30" i="3"/>
  <c r="S30" i="3"/>
  <c r="R26" i="3"/>
  <c r="S26" i="3"/>
  <c r="R22" i="3"/>
  <c r="R18" i="3"/>
  <c r="R13" i="3"/>
  <c r="R9" i="3"/>
  <c r="S9" i="3"/>
  <c r="R5" i="3"/>
  <c r="S5" i="3"/>
  <c r="R61" i="3"/>
  <c r="R56" i="3"/>
  <c r="R51" i="3"/>
  <c r="S51" i="3"/>
  <c r="R46" i="3"/>
  <c r="R42" i="3"/>
  <c r="R38" i="3"/>
  <c r="R34" i="3"/>
  <c r="R29" i="3"/>
  <c r="S29" i="3"/>
  <c r="R25" i="3"/>
  <c r="R21" i="3"/>
  <c r="S21" i="3"/>
  <c r="R16" i="3"/>
  <c r="S16" i="3"/>
  <c r="R12" i="3"/>
  <c r="R8" i="3"/>
  <c r="R4" i="3"/>
  <c r="S4" i="3"/>
  <c r="R60" i="3"/>
  <c r="S60" i="3"/>
  <c r="R55" i="3"/>
  <c r="R50" i="3"/>
  <c r="R45" i="3"/>
  <c r="R41" i="3"/>
  <c r="R37" i="3"/>
  <c r="R32" i="3"/>
  <c r="S32" i="3"/>
  <c r="R28" i="3"/>
  <c r="R24" i="3"/>
  <c r="S24" i="3"/>
  <c r="R20" i="3"/>
  <c r="S20" i="3"/>
  <c r="R15" i="3"/>
  <c r="S15" i="3"/>
  <c r="R11" i="3"/>
  <c r="R7" i="3"/>
  <c r="S7" i="3"/>
  <c r="R3" i="3"/>
  <c r="R58" i="3"/>
  <c r="R53" i="3"/>
  <c r="R48" i="3"/>
  <c r="R44" i="3"/>
  <c r="R40" i="3"/>
  <c r="R36" i="3"/>
  <c r="R31" i="3"/>
  <c r="S31" i="3"/>
  <c r="R27" i="3"/>
  <c r="S27" i="3"/>
  <c r="R23" i="3"/>
  <c r="S23" i="3"/>
  <c r="R19" i="3"/>
  <c r="R14" i="3"/>
  <c r="S14" i="3"/>
  <c r="R10" i="3"/>
  <c r="R6" i="3"/>
  <c r="S6" i="3"/>
  <c r="J58" i="3"/>
  <c r="J51" i="3"/>
  <c r="I23" i="3"/>
  <c r="P44" i="3"/>
  <c r="T32" i="3"/>
  <c r="I56" i="3"/>
  <c r="H48" i="3"/>
  <c r="I25" i="3"/>
  <c r="I4" i="3"/>
  <c r="P21" i="3"/>
  <c r="T27" i="3"/>
  <c r="I55" i="3"/>
  <c r="I50" i="3"/>
  <c r="H36" i="3"/>
  <c r="I19" i="3"/>
  <c r="P56" i="3"/>
  <c r="P26" i="3"/>
  <c r="T41" i="3"/>
  <c r="T61" i="3"/>
  <c r="J37" i="3"/>
  <c r="J41" i="3"/>
  <c r="J45" i="3"/>
  <c r="J34" i="3"/>
  <c r="I38" i="3"/>
  <c r="I42" i="3"/>
  <c r="I46" i="3"/>
  <c r="I39" i="3"/>
  <c r="I47" i="3"/>
  <c r="J35" i="3"/>
  <c r="J43" i="3"/>
  <c r="I36" i="3"/>
  <c r="I44" i="3"/>
  <c r="J36" i="3"/>
  <c r="J44" i="3"/>
  <c r="I37" i="3"/>
  <c r="I45" i="3"/>
  <c r="J38" i="3"/>
  <c r="J42" i="3"/>
  <c r="J46" i="3"/>
  <c r="I35" i="3"/>
  <c r="I43" i="3"/>
  <c r="J39" i="3"/>
  <c r="J47" i="3"/>
  <c r="I40" i="3"/>
  <c r="I48" i="3"/>
  <c r="J40" i="3"/>
  <c r="J48" i="3"/>
  <c r="I41" i="3"/>
  <c r="I34" i="3"/>
  <c r="AC52" i="3"/>
  <c r="I57" i="3"/>
  <c r="J52" i="3"/>
  <c r="H50" i="3"/>
  <c r="H41" i="3"/>
  <c r="I30" i="3"/>
  <c r="I16" i="3"/>
  <c r="P57" i="3"/>
  <c r="P38" i="3"/>
  <c r="P10" i="3"/>
  <c r="T40" i="3"/>
  <c r="T18" i="3"/>
  <c r="I2" i="3"/>
  <c r="J56" i="3"/>
  <c r="J53" i="3"/>
  <c r="H51" i="3"/>
  <c r="H45" i="3"/>
  <c r="I27" i="3"/>
  <c r="I18" i="3"/>
  <c r="I8" i="3"/>
  <c r="P48" i="3"/>
  <c r="P36" i="3"/>
  <c r="P19" i="3"/>
  <c r="T47" i="3"/>
  <c r="T30" i="3"/>
  <c r="T11" i="3"/>
  <c r="J57" i="3"/>
  <c r="H56" i="3"/>
  <c r="H53" i="3"/>
  <c r="I51" i="3"/>
  <c r="H42" i="3"/>
  <c r="I29" i="3"/>
  <c r="I22" i="3"/>
  <c r="I13" i="3"/>
  <c r="I6" i="3"/>
  <c r="P53" i="3"/>
  <c r="P42" i="3"/>
  <c r="P27" i="3"/>
  <c r="P14" i="3"/>
  <c r="T50" i="3"/>
  <c r="T39" i="3"/>
  <c r="T23" i="3"/>
  <c r="T10" i="3"/>
  <c r="X15" i="3"/>
  <c r="H46" i="3"/>
  <c r="H44" i="3"/>
  <c r="H37" i="3"/>
  <c r="I31" i="3"/>
  <c r="I26" i="3"/>
  <c r="I21" i="3"/>
  <c r="I14" i="3"/>
  <c r="I9" i="3"/>
  <c r="I3" i="3"/>
  <c r="P51" i="3"/>
  <c r="P43" i="3"/>
  <c r="P34" i="3"/>
  <c r="P22" i="3"/>
  <c r="P13" i="3"/>
  <c r="P4" i="3"/>
  <c r="T57" i="3"/>
  <c r="T45" i="3"/>
  <c r="T35" i="3"/>
  <c r="T24" i="3"/>
  <c r="T15" i="3"/>
  <c r="T5" i="3"/>
  <c r="U2" i="3"/>
  <c r="U25" i="3"/>
  <c r="U16" i="3"/>
  <c r="U57" i="3"/>
  <c r="AA12" i="3"/>
  <c r="AA2" i="3"/>
  <c r="AA38" i="3"/>
  <c r="X41" i="3"/>
  <c r="V9" i="3"/>
  <c r="V56" i="3"/>
  <c r="I58" i="3"/>
  <c r="H57" i="3"/>
  <c r="J55" i="3"/>
  <c r="I53" i="3"/>
  <c r="H52" i="3"/>
  <c r="J50" i="3"/>
  <c r="H47" i="3"/>
  <c r="H43" i="3"/>
  <c r="H39" i="3"/>
  <c r="H35" i="3"/>
  <c r="I32" i="3"/>
  <c r="I28" i="3"/>
  <c r="I24" i="3"/>
  <c r="I20" i="3"/>
  <c r="I15" i="3"/>
  <c r="I11" i="3"/>
  <c r="I7" i="3"/>
  <c r="P58" i="3"/>
  <c r="P52" i="3"/>
  <c r="P46" i="3"/>
  <c r="P39" i="3"/>
  <c r="P31" i="3"/>
  <c r="P25" i="3"/>
  <c r="P16" i="3"/>
  <c r="P9" i="3"/>
  <c r="Q66" i="3"/>
  <c r="Q28" i="3"/>
  <c r="T60" i="3"/>
  <c r="T52" i="3"/>
  <c r="T44" i="3"/>
  <c r="T36" i="3"/>
  <c r="T28" i="3"/>
  <c r="T22" i="3"/>
  <c r="T13" i="3"/>
  <c r="T6" i="3"/>
  <c r="T64" i="3"/>
  <c r="U8" i="3"/>
  <c r="X60" i="3"/>
  <c r="X24" i="3"/>
  <c r="Q45" i="3"/>
  <c r="Q11" i="3"/>
  <c r="X7" i="3"/>
  <c r="S25" i="3"/>
  <c r="S56" i="3"/>
  <c r="S61" i="3"/>
  <c r="S13" i="3"/>
  <c r="S22" i="3"/>
  <c r="S18" i="3"/>
  <c r="S19" i="3"/>
  <c r="S53" i="3"/>
  <c r="S58" i="3"/>
  <c r="S3" i="3"/>
  <c r="S28" i="3"/>
  <c r="S50" i="3"/>
  <c r="S55" i="3"/>
  <c r="S8" i="3"/>
  <c r="S12" i="3"/>
  <c r="Q37" i="3"/>
  <c r="X32" i="3"/>
  <c r="U26" i="3"/>
  <c r="U18" i="3"/>
  <c r="U9" i="3"/>
  <c r="U58" i="3"/>
  <c r="V29" i="3"/>
  <c r="X57" i="3"/>
  <c r="X47" i="3"/>
  <c r="X39" i="3"/>
  <c r="X30" i="3"/>
  <c r="X22" i="3"/>
  <c r="X13" i="3"/>
  <c r="X5" i="3"/>
  <c r="X68" i="3"/>
  <c r="U30" i="3"/>
  <c r="U22" i="3"/>
  <c r="U13" i="3"/>
  <c r="U5" i="3"/>
  <c r="U53" i="3"/>
  <c r="V21" i="3"/>
  <c r="X64" i="3"/>
  <c r="X52" i="3"/>
  <c r="X43" i="3"/>
  <c r="X35" i="3"/>
  <c r="X26" i="3"/>
  <c r="X18" i="3"/>
  <c r="X9" i="3"/>
  <c r="U29" i="3"/>
  <c r="U21" i="3"/>
  <c r="U12" i="3"/>
  <c r="U4" i="3"/>
  <c r="X2" i="3"/>
  <c r="X66" i="3"/>
  <c r="X55" i="3"/>
  <c r="X45" i="3"/>
  <c r="X37" i="3"/>
  <c r="X28" i="3"/>
  <c r="X20" i="3"/>
  <c r="X11" i="3"/>
  <c r="P40" i="3"/>
  <c r="P35" i="3"/>
  <c r="P29" i="3"/>
  <c r="P23" i="3"/>
  <c r="P18" i="3"/>
  <c r="P12" i="3"/>
  <c r="P6" i="3"/>
  <c r="T55" i="3"/>
  <c r="T48" i="3"/>
  <c r="T43" i="3"/>
  <c r="T37" i="3"/>
  <c r="T31" i="3"/>
  <c r="T26" i="3"/>
  <c r="T20" i="3"/>
  <c r="T14" i="3"/>
  <c r="T9" i="3"/>
  <c r="T3" i="3"/>
  <c r="T63" i="3"/>
  <c r="K52" i="3"/>
  <c r="L52" i="3"/>
  <c r="G56" i="3"/>
  <c r="W56" i="3"/>
  <c r="G58" i="3"/>
  <c r="W58" i="3"/>
  <c r="E50" i="3"/>
  <c r="M50" i="3"/>
  <c r="V14" i="3"/>
  <c r="E57" i="3"/>
  <c r="V57" i="3"/>
  <c r="V3" i="3"/>
  <c r="V11" i="3"/>
  <c r="V8" i="3"/>
  <c r="E56" i="3"/>
  <c r="V58" i="3"/>
  <c r="E55" i="3"/>
  <c r="V55" i="3"/>
  <c r="V5" i="3"/>
  <c r="V13" i="3"/>
  <c r="V4" i="3"/>
  <c r="E58" i="3"/>
  <c r="Q61" i="3"/>
  <c r="Q68" i="3"/>
  <c r="Q4" i="3"/>
  <c r="Q8" i="3"/>
  <c r="Q12" i="3"/>
  <c r="Q16" i="3"/>
  <c r="Q21" i="3"/>
  <c r="Q25" i="3"/>
  <c r="Q29" i="3"/>
  <c r="Q34" i="3"/>
  <c r="Q38" i="3"/>
  <c r="Q42" i="3"/>
  <c r="Q46" i="3"/>
  <c r="Q51" i="3"/>
  <c r="Q56" i="3"/>
  <c r="Q63" i="3"/>
  <c r="Q67" i="3"/>
  <c r="Q5" i="3"/>
  <c r="Q9" i="3"/>
  <c r="Q13" i="3"/>
  <c r="Q18" i="3"/>
  <c r="Q22" i="3"/>
  <c r="Q26" i="3"/>
  <c r="Q30" i="3"/>
  <c r="Q35" i="3"/>
  <c r="Q39" i="3"/>
  <c r="Q43" i="3"/>
  <c r="Q47" i="3"/>
  <c r="Q52" i="3"/>
  <c r="Q57" i="3"/>
  <c r="Q64" i="3"/>
  <c r="Q2" i="3"/>
  <c r="G61" i="3"/>
  <c r="O61" i="3"/>
  <c r="E61" i="3"/>
  <c r="V60" i="3"/>
  <c r="N52" i="3"/>
  <c r="V51" i="3"/>
  <c r="V7" i="3"/>
  <c r="E51" i="3"/>
  <c r="E38" i="3"/>
  <c r="AC38" i="3"/>
  <c r="Q65" i="3"/>
  <c r="Q53" i="3"/>
  <c r="Q44" i="3"/>
  <c r="Q36" i="3"/>
  <c r="Q27" i="3"/>
  <c r="Q19" i="3"/>
  <c r="Q10" i="3"/>
  <c r="E60" i="3"/>
  <c r="U55" i="3"/>
  <c r="U50" i="3"/>
  <c r="U6" i="3"/>
  <c r="U10" i="3"/>
  <c r="U14" i="3"/>
  <c r="U19" i="3"/>
  <c r="U23" i="3"/>
  <c r="U27" i="3"/>
  <c r="U31" i="3"/>
  <c r="U51" i="3"/>
  <c r="U56" i="3"/>
  <c r="U3" i="3"/>
  <c r="U7" i="3"/>
  <c r="U11" i="3"/>
  <c r="U15" i="3"/>
  <c r="U20" i="3"/>
  <c r="U24" i="3"/>
  <c r="U28" i="3"/>
  <c r="U32" i="3"/>
  <c r="V23" i="3"/>
  <c r="V31" i="3"/>
  <c r="V26" i="3"/>
  <c r="V25" i="3"/>
  <c r="V18" i="3"/>
  <c r="V20" i="3"/>
  <c r="V28" i="3"/>
  <c r="S10" i="3"/>
  <c r="S11" i="3"/>
  <c r="S57" i="3"/>
  <c r="X61" i="3"/>
  <c r="X6" i="3"/>
  <c r="X8" i="3"/>
  <c r="X10" i="3"/>
  <c r="X12" i="3"/>
  <c r="X14" i="3"/>
  <c r="X16" i="3"/>
  <c r="X19" i="3"/>
  <c r="X21" i="3"/>
  <c r="X23" i="3"/>
  <c r="X25" i="3"/>
  <c r="X27" i="3"/>
  <c r="X29" i="3"/>
  <c r="X31" i="3"/>
  <c r="X34" i="3"/>
  <c r="X36" i="3"/>
  <c r="X38" i="3"/>
  <c r="X40" i="3"/>
  <c r="X42" i="3"/>
  <c r="X44" i="3"/>
  <c r="X46" i="3"/>
  <c r="X48" i="3"/>
  <c r="X51" i="3"/>
  <c r="X53" i="3"/>
  <c r="X56" i="3"/>
  <c r="X58" i="3"/>
  <c r="X63" i="3"/>
  <c r="X65" i="3"/>
  <c r="X67" i="3"/>
  <c r="Q60" i="3"/>
  <c r="Q50" i="3"/>
  <c r="Q41" i="3"/>
  <c r="Q32" i="3"/>
  <c r="Q24" i="3"/>
  <c r="Q15" i="3"/>
  <c r="Q7" i="3"/>
  <c r="V10" i="3"/>
  <c r="O52" i="3"/>
  <c r="Q58" i="3"/>
  <c r="Q48" i="3"/>
  <c r="Q40" i="3"/>
  <c r="Q31" i="3"/>
  <c r="Q23" i="3"/>
  <c r="Q14" i="3"/>
  <c r="Q6" i="3"/>
  <c r="V6" i="3"/>
  <c r="V53" i="3"/>
  <c r="AA25" i="3"/>
  <c r="AA42" i="3"/>
  <c r="V37" i="3"/>
  <c r="AA29" i="3"/>
  <c r="AA8" i="3"/>
  <c r="AA55" i="3"/>
  <c r="V45" i="3"/>
  <c r="N50" i="3"/>
  <c r="E53" i="3"/>
  <c r="AA21" i="3"/>
  <c r="AA4" i="3"/>
  <c r="I5" i="3"/>
  <c r="P2" i="3"/>
  <c r="P55" i="3"/>
  <c r="P50" i="3"/>
  <c r="P45" i="3"/>
  <c r="P41" i="3"/>
  <c r="P37" i="3"/>
  <c r="P32" i="3"/>
  <c r="P28" i="3"/>
  <c r="P24" i="3"/>
  <c r="P20" i="3"/>
  <c r="P15" i="3"/>
  <c r="P11" i="3"/>
  <c r="P7" i="3"/>
  <c r="P3" i="3"/>
  <c r="T2" i="3"/>
  <c r="T56" i="3"/>
  <c r="T51" i="3"/>
  <c r="T46" i="3"/>
  <c r="T42" i="3"/>
  <c r="T38" i="3"/>
  <c r="T34" i="3"/>
  <c r="T29" i="3"/>
  <c r="T25" i="3"/>
  <c r="T21" i="3"/>
  <c r="T16" i="3"/>
  <c r="T12" i="3"/>
  <c r="T8" i="3"/>
  <c r="T4" i="3"/>
  <c r="T65" i="3"/>
  <c r="T68" i="3"/>
  <c r="E43" i="3"/>
  <c r="AB43" i="3"/>
  <c r="E47" i="3"/>
  <c r="AC47" i="3"/>
  <c r="E41" i="3"/>
  <c r="E39" i="3"/>
  <c r="AB39" i="3"/>
  <c r="E34" i="3"/>
  <c r="AB34" i="3"/>
  <c r="E48" i="3"/>
  <c r="AB48" i="3"/>
  <c r="E42" i="3"/>
  <c r="AB42" i="3"/>
  <c r="E45" i="3"/>
  <c r="AB45" i="3"/>
  <c r="E40" i="3"/>
  <c r="AB40" i="3"/>
  <c r="E44" i="3"/>
  <c r="AC44" i="3"/>
  <c r="E46" i="3"/>
  <c r="AC46" i="3"/>
  <c r="E35" i="3"/>
  <c r="AB35" i="3"/>
  <c r="E37" i="3"/>
  <c r="E36" i="3"/>
  <c r="X4" i="3"/>
  <c r="M58" i="3"/>
  <c r="O58" i="3"/>
  <c r="M52" i="3"/>
  <c r="O57" i="3"/>
  <c r="L58" i="3"/>
  <c r="AB51" i="3"/>
  <c r="AB58" i="3"/>
  <c r="O51" i="3"/>
  <c r="AB38" i="3"/>
  <c r="AC39" i="3"/>
  <c r="E23" i="3"/>
  <c r="J23" i="3"/>
  <c r="AC45" i="3"/>
  <c r="AC35" i="3"/>
  <c r="AC50" i="3"/>
  <c r="K50" i="3"/>
  <c r="L50" i="3"/>
  <c r="AB50" i="3"/>
  <c r="AC43" i="3"/>
  <c r="E8" i="3"/>
  <c r="AC58" i="3"/>
  <c r="K58" i="3"/>
  <c r="N58" i="3"/>
  <c r="N51" i="3"/>
  <c r="AC51" i="3"/>
  <c r="K51" i="3"/>
  <c r="M51" i="3"/>
  <c r="L51" i="3"/>
  <c r="K55" i="3"/>
  <c r="AC55" i="3"/>
  <c r="M55" i="3"/>
  <c r="AB55" i="3"/>
  <c r="N55" i="3"/>
  <c r="O55" i="3"/>
  <c r="L55" i="3"/>
  <c r="AB57" i="3"/>
  <c r="AC57" i="3"/>
  <c r="L57" i="3"/>
  <c r="N57" i="3"/>
  <c r="M57" i="3"/>
  <c r="K57" i="3"/>
  <c r="O50" i="3"/>
  <c r="K60" i="3"/>
  <c r="I60" i="3"/>
  <c r="K61" i="3"/>
  <c r="I61" i="3"/>
  <c r="AC56" i="3"/>
  <c r="M56" i="3"/>
  <c r="K56" i="3"/>
  <c r="AB56" i="3"/>
  <c r="O56" i="3"/>
  <c r="N56" i="3"/>
  <c r="L56" i="3"/>
  <c r="AC40" i="3"/>
  <c r="E27" i="3"/>
  <c r="O27" i="3"/>
  <c r="L53" i="3"/>
  <c r="AB53" i="3"/>
  <c r="K53" i="3"/>
  <c r="AC53" i="3"/>
  <c r="M53" i="3"/>
  <c r="N53" i="3"/>
  <c r="O53" i="3"/>
  <c r="E20" i="3"/>
  <c r="E24" i="3"/>
  <c r="E28" i="3"/>
  <c r="E32" i="3"/>
  <c r="E21" i="3"/>
  <c r="E25" i="3"/>
  <c r="E29" i="3"/>
  <c r="E18" i="3"/>
  <c r="E22" i="3"/>
  <c r="E26" i="3"/>
  <c r="E30" i="3"/>
  <c r="AB46" i="3"/>
  <c r="E31" i="3"/>
  <c r="E16" i="3"/>
  <c r="E19" i="3"/>
  <c r="E4" i="3"/>
  <c r="E5" i="3"/>
  <c r="E9" i="3"/>
  <c r="E13" i="3"/>
  <c r="E2" i="3"/>
  <c r="E6" i="3"/>
  <c r="E10" i="3"/>
  <c r="E14" i="3"/>
  <c r="E3" i="3"/>
  <c r="E7" i="3"/>
  <c r="E11" i="3"/>
  <c r="E15" i="3"/>
  <c r="AC27" i="3"/>
  <c r="E12" i="3"/>
  <c r="AC36" i="3"/>
  <c r="AB36" i="3"/>
  <c r="AC34" i="3"/>
  <c r="AC42" i="3"/>
  <c r="AC48" i="3"/>
  <c r="AB47" i="3"/>
  <c r="AB44" i="3"/>
  <c r="AB41" i="3"/>
  <c r="AC41" i="3"/>
  <c r="AB37" i="3"/>
  <c r="AC37" i="3"/>
  <c r="K23" i="3"/>
  <c r="L23" i="3"/>
  <c r="N23" i="3"/>
  <c r="H23" i="3"/>
  <c r="O23" i="3"/>
  <c r="M23" i="3"/>
  <c r="AC23" i="3"/>
  <c r="AB23" i="3"/>
  <c r="O8" i="3"/>
  <c r="J8" i="3"/>
  <c r="K8" i="3"/>
  <c r="AC8" i="3"/>
  <c r="H8" i="3"/>
  <c r="N8" i="3"/>
  <c r="AB8" i="3"/>
  <c r="M8" i="3"/>
  <c r="L8" i="3"/>
  <c r="N27" i="3"/>
  <c r="K27" i="3"/>
  <c r="L27" i="3"/>
  <c r="M27" i="3"/>
  <c r="H27" i="3"/>
  <c r="J27" i="3"/>
  <c r="AB27" i="3"/>
  <c r="J15" i="3"/>
  <c r="K15" i="3"/>
  <c r="L15" i="3"/>
  <c r="O15" i="3"/>
  <c r="N15" i="3"/>
  <c r="H15" i="3"/>
  <c r="M15" i="3"/>
  <c r="AC15" i="3"/>
  <c r="AB15" i="3"/>
  <c r="H12" i="3"/>
  <c r="M12" i="3"/>
  <c r="AB12" i="3"/>
  <c r="O12" i="3"/>
  <c r="AC12" i="3"/>
  <c r="N12" i="3"/>
  <c r="L12" i="3"/>
  <c r="J12" i="3"/>
  <c r="K12" i="3"/>
  <c r="AB10" i="3"/>
  <c r="J10" i="3"/>
  <c r="N10" i="3"/>
  <c r="K10" i="3"/>
  <c r="O10" i="3"/>
  <c r="L10" i="3"/>
  <c r="M10" i="3"/>
  <c r="H10" i="3"/>
  <c r="AC10" i="3"/>
  <c r="J7" i="3"/>
  <c r="K7" i="3"/>
  <c r="M7" i="3"/>
  <c r="H7" i="3"/>
  <c r="L7" i="3"/>
  <c r="O7" i="3"/>
  <c r="N7" i="3"/>
  <c r="AB7" i="3"/>
  <c r="AC7" i="3"/>
  <c r="AB6" i="3"/>
  <c r="AC6" i="3"/>
  <c r="J6" i="3"/>
  <c r="K6" i="3"/>
  <c r="O6" i="3"/>
  <c r="N6" i="3"/>
  <c r="M6" i="3"/>
  <c r="L6" i="3"/>
  <c r="H6" i="3"/>
  <c r="AC4" i="3"/>
  <c r="K4" i="3"/>
  <c r="L4" i="3"/>
  <c r="N4" i="3"/>
  <c r="M4" i="3"/>
  <c r="O4" i="3"/>
  <c r="AB4" i="3"/>
  <c r="J4" i="3"/>
  <c r="H4" i="3"/>
  <c r="H18" i="3"/>
  <c r="L18" i="3"/>
  <c r="K18" i="3"/>
  <c r="M18" i="3"/>
  <c r="O18" i="3"/>
  <c r="N18" i="3"/>
  <c r="AC18" i="3"/>
  <c r="J18" i="3"/>
  <c r="AB18" i="3"/>
  <c r="J32" i="3"/>
  <c r="O32" i="3"/>
  <c r="N32" i="3"/>
  <c r="H32" i="3"/>
  <c r="M32" i="3"/>
  <c r="K32" i="3"/>
  <c r="L32" i="3"/>
  <c r="AC32" i="3"/>
  <c r="AB32" i="3"/>
  <c r="J3" i="3"/>
  <c r="AB3" i="3"/>
  <c r="K3" i="3"/>
  <c r="L3" i="3"/>
  <c r="H3" i="3"/>
  <c r="M3" i="3"/>
  <c r="O3" i="3"/>
  <c r="N3" i="3"/>
  <c r="AC3" i="3"/>
  <c r="J2" i="3"/>
  <c r="K2" i="3"/>
  <c r="L2" i="3"/>
  <c r="H2" i="3"/>
  <c r="O2" i="3"/>
  <c r="N2" i="3"/>
  <c r="M2" i="3"/>
  <c r="AB2" i="3"/>
  <c r="AC2" i="3"/>
  <c r="AC19" i="3"/>
  <c r="L19" i="3"/>
  <c r="K19" i="3"/>
  <c r="M19" i="3"/>
  <c r="N19" i="3"/>
  <c r="O19" i="3"/>
  <c r="H19" i="3"/>
  <c r="J19" i="3"/>
  <c r="AB19" i="3"/>
  <c r="J30" i="3"/>
  <c r="AC30" i="3"/>
  <c r="O30" i="3"/>
  <c r="K30" i="3"/>
  <c r="N30" i="3"/>
  <c r="M30" i="3"/>
  <c r="AB30" i="3"/>
  <c r="L30" i="3"/>
  <c r="H30" i="3"/>
  <c r="H29" i="3"/>
  <c r="K29" i="3"/>
  <c r="O29" i="3"/>
  <c r="M29" i="3"/>
  <c r="L29" i="3"/>
  <c r="N29" i="3"/>
  <c r="AB29" i="3"/>
  <c r="J29" i="3"/>
  <c r="AC29" i="3"/>
  <c r="J28" i="3"/>
  <c r="O28" i="3"/>
  <c r="M28" i="3"/>
  <c r="K28" i="3"/>
  <c r="L28" i="3"/>
  <c r="N28" i="3"/>
  <c r="AC28" i="3"/>
  <c r="AB28" i="3"/>
  <c r="H28" i="3"/>
  <c r="AB14" i="3"/>
  <c r="K14" i="3"/>
  <c r="O14" i="3"/>
  <c r="M14" i="3"/>
  <c r="N14" i="3"/>
  <c r="J14" i="3"/>
  <c r="L14" i="3"/>
  <c r="H14" i="3"/>
  <c r="AC14" i="3"/>
  <c r="AB13" i="3"/>
  <c r="N13" i="3"/>
  <c r="K13" i="3"/>
  <c r="O13" i="3"/>
  <c r="M13" i="3"/>
  <c r="H13" i="3"/>
  <c r="L13" i="3"/>
  <c r="J13" i="3"/>
  <c r="AC13" i="3"/>
  <c r="H16" i="3"/>
  <c r="M16" i="3"/>
  <c r="J16" i="3"/>
  <c r="L16" i="3"/>
  <c r="O16" i="3"/>
  <c r="N16" i="3"/>
  <c r="AC16" i="3"/>
  <c r="K16" i="3"/>
  <c r="AB16" i="3"/>
  <c r="AC26" i="3"/>
  <c r="O26" i="3"/>
  <c r="K26" i="3"/>
  <c r="AB26" i="3"/>
  <c r="L26" i="3"/>
  <c r="N26" i="3"/>
  <c r="M26" i="3"/>
  <c r="H26" i="3"/>
  <c r="J26" i="3"/>
  <c r="H25" i="3"/>
  <c r="K25" i="3"/>
  <c r="O25" i="3"/>
  <c r="L25" i="3"/>
  <c r="M25" i="3"/>
  <c r="N25" i="3"/>
  <c r="J25" i="3"/>
  <c r="AC25" i="3"/>
  <c r="AB25" i="3"/>
  <c r="AB24" i="3"/>
  <c r="O24" i="3"/>
  <c r="K24" i="3"/>
  <c r="L24" i="3"/>
  <c r="N24" i="3"/>
  <c r="M24" i="3"/>
  <c r="H24" i="3"/>
  <c r="J24" i="3"/>
  <c r="AC24" i="3"/>
  <c r="AC9" i="3"/>
  <c r="N9" i="3"/>
  <c r="K9" i="3"/>
  <c r="O9" i="3"/>
  <c r="M9" i="3"/>
  <c r="L9" i="3"/>
  <c r="H9" i="3"/>
  <c r="J9" i="3"/>
  <c r="AB9" i="3"/>
  <c r="AC31" i="3"/>
  <c r="O31" i="3"/>
  <c r="N31" i="3"/>
  <c r="K31" i="3"/>
  <c r="M31" i="3"/>
  <c r="L31" i="3"/>
  <c r="H31" i="3"/>
  <c r="AB31" i="3"/>
  <c r="J31" i="3"/>
  <c r="J22" i="3"/>
  <c r="AB22" i="3"/>
  <c r="L22" i="3"/>
  <c r="AC22" i="3"/>
  <c r="K22" i="3"/>
  <c r="M22" i="3"/>
  <c r="O22" i="3"/>
  <c r="N22" i="3"/>
  <c r="H22" i="3"/>
  <c r="H21" i="3"/>
  <c r="K21" i="3"/>
  <c r="L21" i="3"/>
  <c r="M21" i="3"/>
  <c r="N21" i="3"/>
  <c r="O21" i="3"/>
  <c r="AB21" i="3"/>
  <c r="J21" i="3"/>
  <c r="AC21" i="3"/>
  <c r="J20" i="3"/>
  <c r="L20" i="3"/>
  <c r="AC20" i="3"/>
  <c r="K20" i="3"/>
  <c r="M20" i="3"/>
  <c r="O20" i="3"/>
  <c r="N20" i="3"/>
  <c r="H20" i="3"/>
  <c r="AB20" i="3"/>
  <c r="AB11" i="3"/>
  <c r="L11" i="3"/>
  <c r="K11" i="3"/>
  <c r="M11" i="3"/>
  <c r="H11" i="3"/>
  <c r="O11" i="3"/>
  <c r="N11" i="3"/>
  <c r="AC11" i="3"/>
  <c r="J11" i="3"/>
  <c r="J5" i="3"/>
  <c r="K5" i="3"/>
  <c r="O5" i="3"/>
  <c r="H5" i="3"/>
  <c r="M5" i="3"/>
  <c r="L5" i="3"/>
  <c r="N5" i="3"/>
  <c r="AB5" i="3"/>
  <c r="AC5" i="3"/>
  <c r="Q17" i="8"/>
  <c r="P21" i="8"/>
  <c r="Q21" i="8"/>
  <c r="P22" i="8"/>
  <c r="Q22" i="8"/>
  <c r="P23" i="8"/>
  <c r="Q23" i="8"/>
  <c r="P24" i="8"/>
  <c r="Q24" i="8"/>
  <c r="P25" i="8"/>
  <c r="Q25" i="8"/>
  <c r="P26" i="8"/>
  <c r="Q26" i="8"/>
  <c r="P27" i="8"/>
  <c r="Q27" i="8"/>
  <c r="P28" i="8"/>
  <c r="Q28" i="8"/>
  <c r="P29" i="8"/>
  <c r="Q29" i="8"/>
  <c r="P30" i="8"/>
  <c r="Q30" i="8"/>
  <c r="P31" i="8"/>
  <c r="Q31" i="8"/>
  <c r="P32" i="8"/>
  <c r="Q32" i="8"/>
  <c r="P33" i="8"/>
  <c r="Q33" i="8"/>
  <c r="P34" i="8"/>
  <c r="Q34" i="8"/>
  <c r="Q20" i="8"/>
  <c r="P20" i="8"/>
  <c r="K21" i="8"/>
  <c r="J21" i="8"/>
  <c r="L21" i="8"/>
  <c r="AA21" i="8"/>
  <c r="AB21" i="8"/>
  <c r="AC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J33" i="8"/>
  <c r="L33" i="8"/>
  <c r="AA33" i="8"/>
  <c r="AB33" i="8"/>
  <c r="AC33" i="8"/>
  <c r="K34" i="8"/>
  <c r="L34" i="8"/>
  <c r="L20" i="8"/>
  <c r="K20" i="8"/>
  <c r="E21" i="8"/>
  <c r="F21" i="8"/>
  <c r="E22" i="8"/>
  <c r="D22" i="8"/>
  <c r="F22" i="8"/>
  <c r="W22" i="8"/>
  <c r="X22" i="8"/>
  <c r="Y22" i="8"/>
  <c r="E23" i="8"/>
  <c r="F23" i="8"/>
  <c r="E24" i="8"/>
  <c r="D24" i="8"/>
  <c r="F24" i="8"/>
  <c r="W24" i="8"/>
  <c r="X24" i="8"/>
  <c r="Y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D32" i="8"/>
  <c r="F32" i="8"/>
  <c r="W32" i="8"/>
  <c r="X32" i="8"/>
  <c r="Y32" i="8"/>
  <c r="E33" i="8"/>
  <c r="F33" i="8"/>
  <c r="E34" i="8"/>
  <c r="F34" i="8"/>
  <c r="F20" i="8"/>
  <c r="E20" i="8"/>
  <c r="O21" i="8"/>
  <c r="O22" i="8"/>
  <c r="O23" i="8"/>
  <c r="O24" i="8"/>
  <c r="O25" i="8"/>
  <c r="AE25" i="8"/>
  <c r="AF25" i="8"/>
  <c r="AG25" i="8"/>
  <c r="O26" i="8"/>
  <c r="O27" i="8"/>
  <c r="O28" i="8"/>
  <c r="O29" i="8"/>
  <c r="O30" i="8"/>
  <c r="O31" i="8"/>
  <c r="O32" i="8"/>
  <c r="O33" i="8"/>
  <c r="O34" i="8"/>
  <c r="O20" i="8"/>
  <c r="J22" i="8"/>
  <c r="J20" i="8"/>
  <c r="J23" i="8"/>
  <c r="J24" i="8"/>
  <c r="J25" i="8"/>
  <c r="J26" i="8"/>
  <c r="J27" i="8"/>
  <c r="J28" i="8"/>
  <c r="J29" i="8"/>
  <c r="J30" i="8"/>
  <c r="J31" i="8"/>
  <c r="J32" i="8"/>
  <c r="J34" i="8"/>
  <c r="J35" i="8"/>
  <c r="D21" i="8"/>
  <c r="D23" i="8"/>
  <c r="D25" i="8"/>
  <c r="D26" i="8"/>
  <c r="D27" i="8"/>
  <c r="D28" i="8"/>
  <c r="D29" i="8"/>
  <c r="D30" i="8"/>
  <c r="D31" i="8"/>
  <c r="D33" i="8"/>
  <c r="D34" i="8"/>
  <c r="D20" i="8"/>
  <c r="Q14" i="8"/>
  <c r="N12" i="8"/>
  <c r="P10" i="8"/>
  <c r="D12" i="8"/>
  <c r="D10" i="8"/>
  <c r="D8" i="8"/>
  <c r="B5" i="8"/>
  <c r="AA42" i="8"/>
  <c r="AB42" i="8"/>
  <c r="AC42" i="8"/>
  <c r="Z42" i="8"/>
  <c r="W42" i="8"/>
  <c r="X42" i="8"/>
  <c r="Y42" i="8"/>
  <c r="V42" i="8"/>
  <c r="W39" i="8"/>
  <c r="X39" i="8"/>
  <c r="Y39" i="8"/>
  <c r="V39" i="8"/>
  <c r="AA37" i="8"/>
  <c r="AB37" i="8"/>
  <c r="AC37" i="8"/>
  <c r="AC38" i="8"/>
  <c r="W38" i="8"/>
  <c r="X38" i="8"/>
  <c r="Y38" i="8"/>
  <c r="V38" i="8"/>
  <c r="Z37" i="8"/>
  <c r="W37" i="8"/>
  <c r="X37" i="8"/>
  <c r="Y37" i="8"/>
  <c r="V37" i="8"/>
  <c r="AA24" i="8"/>
  <c r="AB24" i="8"/>
  <c r="AC24" i="8"/>
  <c r="AE27" i="8"/>
  <c r="AF27" i="8"/>
  <c r="AG27" i="8"/>
  <c r="AE31" i="8"/>
  <c r="AF31" i="8"/>
  <c r="AG31" i="8"/>
  <c r="AE34" i="8"/>
  <c r="AF34" i="8"/>
  <c r="AG34" i="8"/>
  <c r="AD34" i="8"/>
  <c r="AE33" i="8"/>
  <c r="AF33" i="8"/>
  <c r="AG33" i="8"/>
  <c r="AD33" i="8"/>
  <c r="AE32" i="8"/>
  <c r="AF32" i="8"/>
  <c r="AG32" i="8"/>
  <c r="AD32" i="8"/>
  <c r="AD31" i="8"/>
  <c r="AD22" i="8"/>
  <c r="P8" i="8"/>
  <c r="D35" i="8"/>
  <c r="V21" i="8"/>
  <c r="AD21" i="8"/>
  <c r="Z22" i="8"/>
  <c r="V23" i="8"/>
  <c r="AD25" i="8"/>
  <c r="Z26" i="8"/>
  <c r="V27" i="8"/>
  <c r="V29" i="8"/>
  <c r="AD29" i="8"/>
  <c r="Z30" i="8"/>
  <c r="V31" i="8"/>
  <c r="Z34" i="8"/>
  <c r="W29" i="8"/>
  <c r="X29" i="8"/>
  <c r="Y29" i="8"/>
  <c r="W27" i="8"/>
  <c r="X27" i="8"/>
  <c r="Y27" i="8"/>
  <c r="AA30" i="8"/>
  <c r="AB30" i="8"/>
  <c r="AC30" i="8"/>
  <c r="AA26" i="8"/>
  <c r="AB26" i="8"/>
  <c r="AC26" i="8"/>
  <c r="AE21" i="8"/>
  <c r="AF21" i="8"/>
  <c r="AG21" i="8"/>
  <c r="AD27" i="8"/>
  <c r="AD23" i="8"/>
  <c r="AE24" i="8"/>
  <c r="AF24" i="8"/>
  <c r="AG24" i="8"/>
  <c r="Q39" i="8"/>
  <c r="AA20" i="8"/>
  <c r="AB20" i="8"/>
  <c r="AC20" i="8"/>
  <c r="AA25" i="8"/>
  <c r="AB25" i="8"/>
  <c r="AC25" i="8"/>
  <c r="W26" i="8"/>
  <c r="X26" i="8"/>
  <c r="Y26" i="8"/>
  <c r="AA29" i="8"/>
  <c r="AB29" i="8"/>
  <c r="AC29" i="8"/>
  <c r="AA22" i="8"/>
  <c r="AB22" i="8"/>
  <c r="AC22" i="8"/>
  <c r="AE29" i="8"/>
  <c r="AF29" i="8"/>
  <c r="AG29" i="8"/>
  <c r="AD24" i="8"/>
  <c r="W23" i="8"/>
  <c r="X23" i="8"/>
  <c r="Y23" i="8"/>
  <c r="AE22" i="8"/>
  <c r="AF22" i="8"/>
  <c r="AG22" i="8"/>
  <c r="V34" i="8"/>
  <c r="V24" i="8"/>
  <c r="V22" i="8"/>
  <c r="Z31" i="8"/>
  <c r="Z27" i="8"/>
  <c r="Z25" i="8"/>
  <c r="Z24" i="8"/>
  <c r="AD20" i="8"/>
  <c r="W30" i="8"/>
  <c r="X30" i="8"/>
  <c r="Y30" i="8"/>
  <c r="AA31" i="8"/>
  <c r="AB31" i="8"/>
  <c r="AC31" i="8"/>
  <c r="AE28" i="8"/>
  <c r="AF28" i="8"/>
  <c r="AG28" i="8"/>
  <c r="W31" i="8"/>
  <c r="X31" i="8"/>
  <c r="Y31" i="8"/>
  <c r="V25" i="8"/>
  <c r="AA34" i="8"/>
  <c r="AB34" i="8"/>
  <c r="AC34" i="8"/>
  <c r="Z28" i="8"/>
  <c r="Z23" i="8"/>
  <c r="AD30" i="8"/>
  <c r="AD28" i="8"/>
  <c r="AD26" i="8"/>
  <c r="V20" i="8"/>
  <c r="Z21" i="8"/>
  <c r="AC35" i="8"/>
  <c r="Q38" i="8"/>
  <c r="Q40" i="8"/>
  <c r="AE23" i="8"/>
  <c r="AF23" i="8"/>
  <c r="AG23" i="8"/>
  <c r="AA32" i="8"/>
  <c r="AB32" i="8"/>
  <c r="AC32" i="8"/>
  <c r="V32" i="8"/>
  <c r="V30" i="8"/>
  <c r="V28" i="8"/>
  <c r="V26" i="8"/>
  <c r="Z20" i="8"/>
  <c r="Z29" i="8"/>
  <c r="W34" i="8"/>
  <c r="X34" i="8"/>
  <c r="Y34" i="8"/>
  <c r="W28" i="8"/>
  <c r="X28" i="8"/>
  <c r="Y28" i="8"/>
  <c r="W25" i="8"/>
  <c r="X25" i="8"/>
  <c r="Y25" i="8"/>
  <c r="AA27" i="8"/>
  <c r="AB27" i="8"/>
  <c r="AC27" i="8"/>
  <c r="AE20" i="8"/>
  <c r="AF20" i="8"/>
  <c r="AG20" i="8"/>
  <c r="AG35" i="8"/>
  <c r="AE26" i="8"/>
  <c r="AF26" i="8"/>
  <c r="AG26" i="8"/>
  <c r="Z33" i="8"/>
  <c r="W33" i="8"/>
  <c r="X33" i="8"/>
  <c r="Y33" i="8"/>
  <c r="W21" i="8"/>
  <c r="X21" i="8"/>
  <c r="Y21" i="8"/>
  <c r="AA23" i="8"/>
  <c r="AB23" i="8"/>
  <c r="AC23" i="8"/>
  <c r="AE30" i="8"/>
  <c r="AF30" i="8"/>
  <c r="AG30" i="8"/>
  <c r="W20" i="8"/>
  <c r="X20" i="8"/>
  <c r="Y20" i="8"/>
  <c r="Y35" i="8"/>
  <c r="AA28" i="8"/>
  <c r="AB28" i="8"/>
  <c r="AC28" i="8"/>
  <c r="V33" i="8"/>
  <c r="Z32" i="8"/>
  <c r="N44" i="9"/>
  <c r="O44" i="9"/>
  <c r="P44" i="9"/>
  <c r="N43" i="9"/>
  <c r="O43" i="9"/>
  <c r="P43" i="9"/>
  <c r="N42" i="9"/>
  <c r="O42" i="9"/>
  <c r="P42" i="9"/>
  <c r="N41" i="9"/>
  <c r="O41" i="9"/>
  <c r="P41" i="9"/>
  <c r="N40" i="9"/>
  <c r="O40" i="9"/>
  <c r="P40" i="9"/>
  <c r="N39" i="9"/>
  <c r="O39" i="9"/>
  <c r="P39" i="9"/>
  <c r="E40" i="9"/>
  <c r="F40" i="9"/>
  <c r="G40" i="9"/>
  <c r="E39" i="9"/>
  <c r="F39" i="9"/>
  <c r="G39" i="9"/>
  <c r="B39" i="9"/>
  <c r="B40" i="9"/>
  <c r="D40" i="9"/>
  <c r="C40" i="9"/>
  <c r="K40" i="9"/>
  <c r="Q40" i="9"/>
  <c r="K41" i="9"/>
  <c r="Q41" i="9"/>
  <c r="K42" i="9"/>
  <c r="Q42" i="9"/>
  <c r="K43" i="9"/>
  <c r="Q43" i="9"/>
  <c r="K44" i="9"/>
  <c r="Q44" i="9"/>
  <c r="K39" i="9"/>
  <c r="Q39" i="9"/>
  <c r="K32" i="9"/>
  <c r="Q32" i="9"/>
  <c r="K33" i="9"/>
  <c r="Q33" i="9"/>
  <c r="K34" i="9"/>
  <c r="Q34" i="9"/>
  <c r="K31" i="9"/>
  <c r="Q31" i="9"/>
  <c r="B32" i="9"/>
  <c r="H32" i="9"/>
  <c r="B33" i="9"/>
  <c r="H33" i="9"/>
  <c r="B34" i="9"/>
  <c r="H34" i="9"/>
  <c r="B31" i="9"/>
  <c r="H31" i="9"/>
  <c r="T13" i="9"/>
  <c r="Z13" i="9"/>
  <c r="T14" i="9"/>
  <c r="Z14" i="9"/>
  <c r="T15" i="9"/>
  <c r="Z15" i="9"/>
  <c r="T16" i="9"/>
  <c r="Z16" i="9"/>
  <c r="T17" i="9"/>
  <c r="Z17" i="9"/>
  <c r="T18" i="9"/>
  <c r="Z18" i="9"/>
  <c r="T19" i="9"/>
  <c r="Z19" i="9"/>
  <c r="T20" i="9"/>
  <c r="Z20" i="9"/>
  <c r="T21" i="9"/>
  <c r="Z21" i="9"/>
  <c r="T22" i="9"/>
  <c r="Z22" i="9"/>
  <c r="T23" i="9"/>
  <c r="Z23" i="9"/>
  <c r="T24" i="9"/>
  <c r="Z24" i="9"/>
  <c r="T25" i="9"/>
  <c r="Z25" i="9"/>
  <c r="T26" i="9"/>
  <c r="Z26" i="9"/>
  <c r="T12" i="9"/>
  <c r="K13" i="9"/>
  <c r="K14" i="9"/>
  <c r="Q14" i="9"/>
  <c r="K15" i="9"/>
  <c r="Q15" i="9"/>
  <c r="K16" i="9"/>
  <c r="Q16" i="9"/>
  <c r="K17" i="9"/>
  <c r="Q17" i="9"/>
  <c r="K18" i="9"/>
  <c r="Q18" i="9"/>
  <c r="K19" i="9"/>
  <c r="Q19" i="9"/>
  <c r="K20" i="9"/>
  <c r="Q20" i="9"/>
  <c r="K21" i="9"/>
  <c r="Q21" i="9"/>
  <c r="K22" i="9"/>
  <c r="Q22" i="9"/>
  <c r="K23" i="9"/>
  <c r="Q23" i="9"/>
  <c r="K24" i="9"/>
  <c r="Q24" i="9"/>
  <c r="K25" i="9"/>
  <c r="Q25" i="9"/>
  <c r="K26" i="9"/>
  <c r="Q26" i="9"/>
  <c r="K12" i="9"/>
  <c r="B13" i="9"/>
  <c r="H13" i="9"/>
  <c r="B14" i="9"/>
  <c r="H14" i="9"/>
  <c r="B15" i="9"/>
  <c r="H15" i="9"/>
  <c r="B16" i="9"/>
  <c r="H16" i="9"/>
  <c r="B17" i="9"/>
  <c r="H17" i="9"/>
  <c r="B18" i="9"/>
  <c r="H18" i="9"/>
  <c r="B19" i="9"/>
  <c r="H19" i="9"/>
  <c r="B20" i="9"/>
  <c r="H20" i="9"/>
  <c r="B21" i="9"/>
  <c r="H21" i="9"/>
  <c r="B22" i="9"/>
  <c r="H22" i="9"/>
  <c r="B23" i="9"/>
  <c r="H23" i="9"/>
  <c r="B24" i="9"/>
  <c r="H24" i="9"/>
  <c r="B25" i="9"/>
  <c r="H25" i="9"/>
  <c r="B26" i="9"/>
  <c r="H26" i="9"/>
  <c r="B12" i="9"/>
  <c r="H12" i="9"/>
  <c r="N32" i="9"/>
  <c r="O32" i="9"/>
  <c r="N33" i="9"/>
  <c r="O33" i="9"/>
  <c r="N34" i="9"/>
  <c r="O34" i="9"/>
  <c r="P34" i="9"/>
  <c r="N31" i="9"/>
  <c r="O31" i="9"/>
  <c r="E32" i="9"/>
  <c r="F32" i="9"/>
  <c r="E33" i="9"/>
  <c r="F33" i="9"/>
  <c r="E34" i="9"/>
  <c r="F34" i="9"/>
  <c r="E31" i="9"/>
  <c r="F31" i="9"/>
  <c r="N13" i="9"/>
  <c r="O13" i="9"/>
  <c r="P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N21" i="9"/>
  <c r="O21" i="9"/>
  <c r="N22" i="9"/>
  <c r="O22" i="9"/>
  <c r="N23" i="9"/>
  <c r="O23" i="9"/>
  <c r="P23" i="9"/>
  <c r="N24" i="9"/>
  <c r="O24" i="9"/>
  <c r="N25" i="9"/>
  <c r="O25" i="9"/>
  <c r="N26" i="9"/>
  <c r="O26" i="9"/>
  <c r="N12" i="9"/>
  <c r="O12" i="9"/>
  <c r="E13" i="9"/>
  <c r="F13" i="9"/>
  <c r="E14" i="9"/>
  <c r="F14" i="9"/>
  <c r="G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E24" i="9"/>
  <c r="F24" i="9"/>
  <c r="E25" i="9"/>
  <c r="F25" i="9"/>
  <c r="E26" i="9"/>
  <c r="F26" i="9"/>
  <c r="E12" i="9"/>
  <c r="F12" i="9"/>
  <c r="L40" i="9"/>
  <c r="M40" i="9"/>
  <c r="L41" i="9"/>
  <c r="M41" i="9"/>
  <c r="L42" i="9"/>
  <c r="M42" i="9"/>
  <c r="L43" i="9"/>
  <c r="M43" i="9"/>
  <c r="L44" i="9"/>
  <c r="M44" i="9"/>
  <c r="M39" i="9"/>
  <c r="L39" i="9"/>
  <c r="W12" i="9"/>
  <c r="X12" i="9"/>
  <c r="W13" i="9"/>
  <c r="X13" i="9"/>
  <c r="W14" i="9"/>
  <c r="X14" i="9"/>
  <c r="W15" i="9"/>
  <c r="X15" i="9"/>
  <c r="W16" i="9"/>
  <c r="X16" i="9"/>
  <c r="Y16" i="9"/>
  <c r="W17" i="9"/>
  <c r="X17" i="9"/>
  <c r="W18" i="9"/>
  <c r="X18" i="9"/>
  <c r="W19" i="9"/>
  <c r="X19" i="9"/>
  <c r="W20" i="9"/>
  <c r="X20" i="9"/>
  <c r="W21" i="9"/>
  <c r="X21" i="9"/>
  <c r="W22" i="9"/>
  <c r="X22" i="9"/>
  <c r="Y22" i="9"/>
  <c r="W23" i="9"/>
  <c r="X23" i="9"/>
  <c r="W24" i="9"/>
  <c r="X24" i="9"/>
  <c r="W25" i="9"/>
  <c r="X25" i="9"/>
  <c r="W26" i="9"/>
  <c r="X26" i="9"/>
  <c r="D39" i="9"/>
  <c r="C39" i="9"/>
  <c r="L32" i="9"/>
  <c r="M32" i="9"/>
  <c r="L33" i="9"/>
  <c r="M33" i="9"/>
  <c r="L34" i="9"/>
  <c r="M34" i="9"/>
  <c r="M31" i="9"/>
  <c r="L31" i="9"/>
  <c r="C32" i="9"/>
  <c r="D32" i="9"/>
  <c r="C33" i="9"/>
  <c r="D33" i="9"/>
  <c r="C34" i="9"/>
  <c r="D34" i="9"/>
  <c r="D31" i="9"/>
  <c r="C31" i="9"/>
  <c r="U13" i="9"/>
  <c r="V13" i="9"/>
  <c r="U14" i="9"/>
  <c r="V14" i="9"/>
  <c r="U15" i="9"/>
  <c r="V15" i="9"/>
  <c r="U16" i="9"/>
  <c r="V16" i="9"/>
  <c r="U17" i="9"/>
  <c r="V17" i="9"/>
  <c r="U18" i="9"/>
  <c r="V18" i="9"/>
  <c r="U19" i="9"/>
  <c r="V19" i="9"/>
  <c r="U20" i="9"/>
  <c r="V20" i="9"/>
  <c r="U21" i="9"/>
  <c r="V21" i="9"/>
  <c r="U22" i="9"/>
  <c r="V22" i="9"/>
  <c r="U23" i="9"/>
  <c r="V23" i="9"/>
  <c r="U24" i="9"/>
  <c r="V24" i="9"/>
  <c r="U25" i="9"/>
  <c r="V25" i="9"/>
  <c r="U26" i="9"/>
  <c r="V26" i="9"/>
  <c r="V12" i="9"/>
  <c r="U12" i="9"/>
  <c r="L13" i="9"/>
  <c r="M13" i="9"/>
  <c r="L14" i="9"/>
  <c r="M14" i="9"/>
  <c r="L15" i="9"/>
  <c r="M15" i="9"/>
  <c r="L16" i="9"/>
  <c r="M16" i="9"/>
  <c r="L17" i="9"/>
  <c r="M17" i="9"/>
  <c r="L18" i="9"/>
  <c r="M18" i="9"/>
  <c r="L19" i="9"/>
  <c r="M19" i="9"/>
  <c r="L20" i="9"/>
  <c r="M20" i="9"/>
  <c r="L21" i="9"/>
  <c r="M21" i="9"/>
  <c r="L22" i="9"/>
  <c r="M22" i="9"/>
  <c r="L23" i="9"/>
  <c r="M23" i="9"/>
  <c r="L24" i="9"/>
  <c r="M24" i="9"/>
  <c r="L25" i="9"/>
  <c r="M25" i="9"/>
  <c r="L26" i="9"/>
  <c r="M26" i="9"/>
  <c r="M12" i="9"/>
  <c r="L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D12" i="9"/>
  <c r="C12" i="9"/>
  <c r="C7" i="9"/>
  <c r="C6" i="9"/>
  <c r="C5" i="9"/>
  <c r="C4" i="9"/>
  <c r="Y21" i="9"/>
  <c r="G31" i="9"/>
  <c r="G24" i="9"/>
  <c r="G19" i="9"/>
  <c r="P18" i="9"/>
  <c r="G13" i="9"/>
  <c r="G25" i="9"/>
  <c r="G21" i="9"/>
  <c r="G15" i="9"/>
  <c r="P33" i="9"/>
  <c r="P12" i="9"/>
  <c r="P21" i="9"/>
  <c r="H27" i="9"/>
  <c r="G26" i="9"/>
  <c r="G22" i="9"/>
  <c r="G16" i="9"/>
  <c r="P26" i="9"/>
  <c r="P24" i="9"/>
  <c r="Y25" i="9"/>
  <c r="Y13" i="9"/>
  <c r="P15" i="9"/>
  <c r="G32" i="9"/>
  <c r="G12" i="9"/>
  <c r="Q13" i="9"/>
  <c r="Q12" i="9"/>
  <c r="H40" i="9"/>
  <c r="H39" i="9"/>
  <c r="Y24" i="9"/>
  <c r="Y20" i="9"/>
  <c r="Y18" i="9"/>
  <c r="Y12" i="9"/>
  <c r="Z12" i="9"/>
  <c r="Z27" i="9"/>
  <c r="P16" i="9"/>
  <c r="G34" i="9"/>
  <c r="Y17" i="9"/>
  <c r="Y15" i="9"/>
  <c r="P19" i="9"/>
  <c r="P14" i="9"/>
  <c r="P31" i="9"/>
  <c r="Q35" i="9"/>
  <c r="Q45" i="9"/>
  <c r="Y26" i="9"/>
  <c r="Y14" i="9"/>
  <c r="G20" i="9"/>
  <c r="G18" i="9"/>
  <c r="P25" i="9"/>
  <c r="P20" i="9"/>
  <c r="G33" i="9"/>
  <c r="Y19" i="9"/>
  <c r="G23" i="9"/>
  <c r="G17" i="9"/>
  <c r="P22" i="9"/>
  <c r="P17" i="9"/>
  <c r="P32" i="9"/>
  <c r="Y23" i="9"/>
  <c r="H35" i="9"/>
  <c r="Q27" i="9"/>
  <c r="Z30" i="9"/>
  <c r="H41" i="9"/>
</calcChain>
</file>

<file path=xl/sharedStrings.xml><?xml version="1.0" encoding="utf-8"?>
<sst xmlns="http://schemas.openxmlformats.org/spreadsheetml/2006/main" count="1114" uniqueCount="498">
  <si>
    <t>WHITE CHOCOLATE PHENOLIC</t>
  </si>
  <si>
    <t>WHITE LACQUER PHENOLIC</t>
  </si>
  <si>
    <t>MATCHING/BLENDED</t>
  </si>
  <si>
    <t>BLENDED</t>
  </si>
  <si>
    <t>DOUBLE SCRIDE (#6260 - RTF)</t>
  </si>
  <si>
    <t>4100s</t>
  </si>
  <si>
    <t>4100sO</t>
  </si>
  <si>
    <t>4100sG</t>
  </si>
  <si>
    <t>41DFsO</t>
  </si>
  <si>
    <t>41DFsG</t>
  </si>
  <si>
    <t>9SHK_G</t>
  </si>
  <si>
    <t>9SHK_DFG</t>
  </si>
  <si>
    <t>9SHK_Lite</t>
  </si>
  <si>
    <t>(SHK_LiteG</t>
  </si>
  <si>
    <t>OXFORD</t>
  </si>
  <si>
    <t>Oxfords</t>
  </si>
  <si>
    <t>OxfordsO</t>
  </si>
  <si>
    <t>OxfordsG</t>
  </si>
  <si>
    <t>9100glassG</t>
  </si>
  <si>
    <t>10_200sO</t>
  </si>
  <si>
    <t>Weg Back</t>
  </si>
  <si>
    <t>SHK_IN</t>
  </si>
  <si>
    <t>9SHK_IN</t>
  </si>
  <si>
    <t>ANTIQUE WHITEWASH PHENOLIC</t>
  </si>
  <si>
    <t>EMBER PHENOLIC</t>
  </si>
  <si>
    <t>FRESCO PHENOLIC</t>
  </si>
  <si>
    <t>SILVA PHENOLIC</t>
  </si>
  <si>
    <t>Rev. April. 2015</t>
  </si>
  <si>
    <t>WEGS/Kicks/Fillers</t>
  </si>
  <si>
    <t>STOCKTON</t>
  </si>
  <si>
    <t>StocktonG</t>
  </si>
  <si>
    <t>StocktonDFG</t>
  </si>
  <si>
    <t>STOCKTON V FRAME</t>
  </si>
  <si>
    <t>Select Routed Or Slab</t>
  </si>
  <si>
    <t>Please manually enter all information on form</t>
  </si>
  <si>
    <t>All measurements to be in millimeters</t>
  </si>
  <si>
    <t>Valances / WEGS</t>
  </si>
  <si>
    <t>Total Pieces</t>
  </si>
  <si>
    <t>SPECIAL ORDER</t>
  </si>
  <si>
    <t>2 X 8 PSA</t>
  </si>
  <si>
    <t>4 X 8 PSA</t>
  </si>
  <si>
    <t>(Nubold is not responsible for Damaged Goods in Shipping)</t>
  </si>
  <si>
    <t>ValG</t>
  </si>
  <si>
    <t>Weg 6</t>
  </si>
  <si>
    <t>WEGs</t>
  </si>
  <si>
    <t>WEGsG</t>
  </si>
  <si>
    <t>5 LITES</t>
  </si>
  <si>
    <t>7 LITES</t>
  </si>
  <si>
    <t>9 LITES</t>
  </si>
  <si>
    <t>10 LITE</t>
  </si>
  <si>
    <t>SUMMERFLAME</t>
  </si>
  <si>
    <t>Moulding</t>
  </si>
  <si>
    <t>2 1/2" CROWN (#146 - RTF)</t>
  </si>
  <si>
    <t>3 1/2" CROWN (#PP04 - RTF)</t>
  </si>
  <si>
    <t>45 DEGREE OUTSIDE CORNER (#115 - RTF)</t>
  </si>
  <si>
    <t>90 DEGREE OUTSIDE CORNER (#116 - RTF)</t>
  </si>
  <si>
    <t>CORNER CROWN (#515 - RTF)</t>
  </si>
  <si>
    <t>COVE (#398 - RTF)</t>
  </si>
  <si>
    <t>DOUBLE LIGHT VALANCE (#4200 - RTF)</t>
  </si>
  <si>
    <t>DOUBLE SHOE (#3154 - RTF)</t>
  </si>
  <si>
    <t>INSIDE CORNER (#3155 - RTF)</t>
  </si>
  <si>
    <t>OUTSIDE CORNER (#114 - RTF)</t>
  </si>
  <si>
    <t>SCRIBE (#6254 - PRTF)</t>
  </si>
  <si>
    <t>SHAKER CROWN (#KIT01 - RTF)</t>
  </si>
  <si>
    <t>PSA</t>
  </si>
  <si>
    <t>Rev. Nov. 06</t>
  </si>
  <si>
    <t>DARK WALNUT</t>
  </si>
  <si>
    <t>NATURAL WALNUT</t>
  </si>
  <si>
    <t>BACK</t>
  </si>
  <si>
    <t>WEGMATCH</t>
  </si>
  <si>
    <t>ANTIQUE WHITEWASH</t>
  </si>
  <si>
    <t>BOURBON CHERRY</t>
  </si>
  <si>
    <t>LIBRETTI</t>
  </si>
  <si>
    <t>TOBACCO CHERRY</t>
  </si>
  <si>
    <t>TUXEDO</t>
  </si>
  <si>
    <t>WENGE</t>
  </si>
  <si>
    <t>HIGH GLOSS BACK</t>
  </si>
  <si>
    <t>SAMIRA MAPLE</t>
  </si>
  <si>
    <t>LAMINATE</t>
  </si>
  <si>
    <t>PEEL &amp; STICK</t>
  </si>
  <si>
    <t>LAM / PSA</t>
  </si>
  <si>
    <t>BRAZILIAN WALNUT</t>
  </si>
  <si>
    <t>3/4"</t>
  </si>
  <si>
    <t>QUARTER ROUND (#5174 - RTF)</t>
  </si>
  <si>
    <t>WHITE CHOCOLATE</t>
  </si>
  <si>
    <t>FRESCO</t>
  </si>
  <si>
    <t>SUMMER BREEZE</t>
  </si>
  <si>
    <t>CARNAVAL</t>
  </si>
  <si>
    <t>QUEENSTON OAK</t>
  </si>
  <si>
    <t>SAMBA</t>
  </si>
  <si>
    <t>SOFT CREAM</t>
  </si>
  <si>
    <t>STONE GREY</t>
  </si>
  <si>
    <t>UMBRA</t>
  </si>
  <si>
    <t>FOSSIL GREY</t>
  </si>
  <si>
    <t>Rev. Feb. 2014</t>
  </si>
  <si>
    <t>10 900</t>
  </si>
  <si>
    <t>ANTIQUE WHITE PHENOLIC</t>
  </si>
  <si>
    <t>BOURBON CHERRY PHENOLIC</t>
  </si>
  <si>
    <t>BRAZILIAN WALNUT PHENOLIC</t>
  </si>
  <si>
    <t>CARNAVAL LINK 25</t>
  </si>
  <si>
    <t>CHOCOLATE PEAR PHENOLIC</t>
  </si>
  <si>
    <t>DARK WALNUT PHENOLIC</t>
  </si>
  <si>
    <t>EMBER</t>
  </si>
  <si>
    <t>FOSSIL GREY PHENOLIC</t>
  </si>
  <si>
    <t>NATURAL WALNUT PHENOLIC</t>
  </si>
  <si>
    <t>QUEENSTON OAK PHENOLIC</t>
  </si>
  <si>
    <t>SAMBA LINK 25</t>
  </si>
  <si>
    <t>SECRET MAPLE PHENOLIC</t>
  </si>
  <si>
    <t>SILVA</t>
  </si>
  <si>
    <t>SOFT CREAM PHENOLIC</t>
  </si>
  <si>
    <t>STONE GREY PHENOLIC</t>
  </si>
  <si>
    <t>SUMMER BREEZE PHENOLIC</t>
  </si>
  <si>
    <t>SUMMERFLAME PHENOLIC</t>
  </si>
  <si>
    <t>TOBACCO CHERRY PHENOLIC</t>
  </si>
  <si>
    <t>UMBRA PHENOLIC</t>
  </si>
  <si>
    <t>WENGE PHENOLIC</t>
  </si>
  <si>
    <t>WHITE ASH PHENOLIC</t>
  </si>
  <si>
    <t xml:space="preserve"> Select Door Design</t>
  </si>
  <si>
    <t>Drill Location</t>
  </si>
  <si>
    <t>QTY</t>
  </si>
  <si>
    <t>WIDTH</t>
  </si>
  <si>
    <t>HEIGHT</t>
  </si>
  <si>
    <t>Left</t>
  </si>
  <si>
    <t>Right</t>
  </si>
  <si>
    <t>FRAME &amp; MULLION DOORS</t>
  </si>
  <si>
    <t>VALANCES</t>
  </si>
  <si>
    <t>TOTAL</t>
  </si>
  <si>
    <t>STYLE</t>
  </si>
  <si>
    <t>Doors</t>
  </si>
  <si>
    <t>LITES</t>
  </si>
  <si>
    <t>Drawerfronts</t>
  </si>
  <si>
    <t>ONE LITE - FRAME ONLY</t>
  </si>
  <si>
    <t>Frame Doors</t>
  </si>
  <si>
    <t>1 Lite</t>
  </si>
  <si>
    <t>Mullion Doors</t>
  </si>
  <si>
    <t>Valances</t>
  </si>
  <si>
    <t>WEGS / KICKS / FILLERS</t>
  </si>
  <si>
    <t>4, 6 OR 8 LITE</t>
  </si>
  <si>
    <t>TOTALS</t>
  </si>
  <si>
    <t>DOORS &amp; DRAWERS</t>
  </si>
  <si>
    <t>*Manufactured Items*</t>
  </si>
  <si>
    <t xml:space="preserve">       *Stock Items*</t>
  </si>
  <si>
    <t>MOULDINGS</t>
  </si>
  <si>
    <t>HARDWARE</t>
  </si>
  <si>
    <t>DESCRIPTION</t>
  </si>
  <si>
    <t>COLOUR</t>
  </si>
  <si>
    <t>TYPE</t>
  </si>
  <si>
    <t>HANDLES</t>
  </si>
  <si>
    <t>HINGES</t>
  </si>
  <si>
    <t>SCREWS</t>
  </si>
  <si>
    <t>(Hinges are sold by the pair)</t>
  </si>
  <si>
    <t>Dealer:</t>
  </si>
  <si>
    <t>Tagname:</t>
  </si>
  <si>
    <t>Style:</t>
  </si>
  <si>
    <t>Colour:</t>
  </si>
  <si>
    <t>Ext. Sq. Ft.</t>
  </si>
  <si>
    <t xml:space="preserve">Line </t>
  </si>
  <si>
    <t>No.</t>
  </si>
  <si>
    <t>Fronts</t>
  </si>
  <si>
    <t>UPPER DOOR INSERTS</t>
  </si>
  <si>
    <t>BASE DOOR INSERTS</t>
  </si>
  <si>
    <t>DRAWERFRONT INSERTS</t>
  </si>
  <si>
    <t>Routing Design</t>
  </si>
  <si>
    <t>Total Sq. Ft.</t>
  </si>
  <si>
    <t>INSIDE MOULDING TRIM</t>
  </si>
  <si>
    <t>FOR 11 000 DOOR</t>
  </si>
  <si>
    <t>UPPER DOOR TRIM</t>
  </si>
  <si>
    <t>BASE DOOR TRIM</t>
  </si>
  <si>
    <t>DRAWERFRONT TRIM</t>
  </si>
  <si>
    <t>Frame &amp; Mullions</t>
  </si>
  <si>
    <t>RUSTIK CHERRY</t>
  </si>
  <si>
    <t>1/8 STOCK</t>
  </si>
  <si>
    <t>FOR SHAKER INSERTS</t>
  </si>
  <si>
    <t>FOR ARTISAN STOCKTONS</t>
  </si>
  <si>
    <t>3/8 BOARD INSERT</t>
  </si>
  <si>
    <t>Upper Doors</t>
  </si>
  <si>
    <t>Base Doors</t>
  </si>
  <si>
    <t>Line</t>
  </si>
  <si>
    <t># of Pieces</t>
  </si>
  <si>
    <t>Width</t>
  </si>
  <si>
    <t>Height</t>
  </si>
  <si>
    <t>Sq. Ft Per Door</t>
  </si>
  <si>
    <t>Total Sq Ft</t>
  </si>
  <si>
    <t>Frame Only Doors</t>
  </si>
  <si>
    <t>TOTAL SQ. FT. DR/DWR</t>
  </si>
  <si>
    <t>(1 sq. ft. minimum per drawerfront)</t>
  </si>
  <si>
    <t>ORDER SUMMARY</t>
  </si>
  <si>
    <t>TOP PANELS</t>
  </si>
  <si>
    <t>FOR COUNTRY SHAKER</t>
  </si>
  <si>
    <t>UPPER DOOR PANELS</t>
  </si>
  <si>
    <t>BASE DOOR PANELS</t>
  </si>
  <si>
    <t>DRAWERFRONT PANELS</t>
  </si>
  <si>
    <t>RAILS</t>
  </si>
  <si>
    <t>STILES</t>
  </si>
  <si>
    <t>CHERRY BLOSSOM</t>
  </si>
  <si>
    <t>CHOCOLATE PEAR</t>
  </si>
  <si>
    <t>HARDROCK MAPLE</t>
  </si>
  <si>
    <t>10 200</t>
  </si>
  <si>
    <t>10 300</t>
  </si>
  <si>
    <t>WHITE LACQUER</t>
  </si>
  <si>
    <t>Door Style 117</t>
  </si>
  <si>
    <t>Hinge Type:</t>
  </si>
  <si>
    <t>Details:</t>
  </si>
  <si>
    <t>ORDER NOTES:</t>
  </si>
  <si>
    <t>Drawers</t>
  </si>
  <si>
    <t>SLAB</t>
  </si>
  <si>
    <t>ROUTED</t>
  </si>
  <si>
    <t>Upper Door Style</t>
  </si>
  <si>
    <t>Lower Door Style</t>
  </si>
  <si>
    <t>930glassG</t>
  </si>
  <si>
    <t>1100Glass2</t>
  </si>
  <si>
    <t>1100glsG2</t>
  </si>
  <si>
    <t>9000-LitesG</t>
  </si>
  <si>
    <t>9100s</t>
  </si>
  <si>
    <t>9100sG</t>
  </si>
  <si>
    <t>1DfsG</t>
  </si>
  <si>
    <t>9100DFsG</t>
  </si>
  <si>
    <t>10_000sG</t>
  </si>
  <si>
    <t>10_000DFsG</t>
  </si>
  <si>
    <t>Door Style 126</t>
  </si>
  <si>
    <t>Door Style 125</t>
  </si>
  <si>
    <t>10 550</t>
  </si>
  <si>
    <t>10550s</t>
  </si>
  <si>
    <t>SQPocketG</t>
  </si>
  <si>
    <t>SQPocketDFG</t>
  </si>
  <si>
    <t>10 560</t>
  </si>
  <si>
    <t>10560s</t>
  </si>
  <si>
    <t>9000 WEG EDGE</t>
  </si>
  <si>
    <t>SCUT</t>
  </si>
  <si>
    <t>8000sO</t>
  </si>
  <si>
    <t>8000sG</t>
  </si>
  <si>
    <t>8DFsO</t>
  </si>
  <si>
    <t>8DFsG</t>
  </si>
  <si>
    <t>9000s</t>
  </si>
  <si>
    <t>9000sO</t>
  </si>
  <si>
    <t>9000sG</t>
  </si>
  <si>
    <t>9000DFsO</t>
  </si>
  <si>
    <t>9000DFsG</t>
  </si>
  <si>
    <t>9 Ramp</t>
  </si>
  <si>
    <t>9000_Lite</t>
  </si>
  <si>
    <t>9710s</t>
  </si>
  <si>
    <t>9710sO</t>
  </si>
  <si>
    <t>9710sG</t>
  </si>
  <si>
    <t>9710DFsG</t>
  </si>
  <si>
    <t>9710GlassIN</t>
  </si>
  <si>
    <t>10 100T</t>
  </si>
  <si>
    <t>10 100G</t>
  </si>
  <si>
    <t>SHK_OUT</t>
  </si>
  <si>
    <t>PocketG</t>
  </si>
  <si>
    <t>PocketDfG</t>
  </si>
  <si>
    <t>Ten5_lite</t>
  </si>
  <si>
    <t>Ten5_liteG</t>
  </si>
  <si>
    <t>HOGGCUs</t>
  </si>
  <si>
    <t>11_000s</t>
  </si>
  <si>
    <t>11_000sO</t>
  </si>
  <si>
    <t>11_000sG</t>
  </si>
  <si>
    <t>11_000DFsO</t>
  </si>
  <si>
    <t>11_000DFsG</t>
  </si>
  <si>
    <t>11_000_lite</t>
  </si>
  <si>
    <t>7000 CHESTER</t>
  </si>
  <si>
    <t>CHESTEROUT</t>
  </si>
  <si>
    <t>9000 CHESTER</t>
  </si>
  <si>
    <t>CHESTER</t>
  </si>
  <si>
    <t>CHESTERIN</t>
  </si>
  <si>
    <t>CHESTERG</t>
  </si>
  <si>
    <t>CHESTERDFG</t>
  </si>
  <si>
    <t>CLASSIC</t>
  </si>
  <si>
    <t>GEORGIAN</t>
  </si>
  <si>
    <t>Geos</t>
  </si>
  <si>
    <t>GeosO</t>
  </si>
  <si>
    <t>GeosG</t>
  </si>
  <si>
    <t>GeoDFsO</t>
  </si>
  <si>
    <t>GeoDFsG</t>
  </si>
  <si>
    <t>Geo_glassG</t>
  </si>
  <si>
    <t>WINDMILL</t>
  </si>
  <si>
    <t>WINDMILLs</t>
  </si>
  <si>
    <t>WINDMILLsO</t>
  </si>
  <si>
    <t>WINDMILLsG</t>
  </si>
  <si>
    <t>WINDMILLDFsG</t>
  </si>
  <si>
    <t/>
  </si>
  <si>
    <t>Upper</t>
  </si>
  <si>
    <t>Lite 1</t>
  </si>
  <si>
    <t>Profile</t>
  </si>
  <si>
    <t>Base</t>
  </si>
  <si>
    <t>Lite 2</t>
  </si>
  <si>
    <t>Drill</t>
  </si>
  <si>
    <t>Drawer</t>
  </si>
  <si>
    <t>Lite 3</t>
  </si>
  <si>
    <t>Color</t>
  </si>
  <si>
    <t>Lite 4</t>
  </si>
  <si>
    <t>Job No.</t>
  </si>
  <si>
    <t>Slab Drawer</t>
  </si>
  <si>
    <t>Finger Pulls</t>
  </si>
  <si>
    <t>Weg 1</t>
  </si>
  <si>
    <t>Channels</t>
  </si>
  <si>
    <t>Funny U-Door</t>
  </si>
  <si>
    <t>Weg 2</t>
  </si>
  <si>
    <t>Funny B-Door</t>
  </si>
  <si>
    <t>Weg 3</t>
  </si>
  <si>
    <t>Funny Drawerfront</t>
  </si>
  <si>
    <t>Weg 4</t>
  </si>
  <si>
    <t>Weg 5</t>
  </si>
  <si>
    <t>Door Width</t>
  </si>
  <si>
    <t>Door Height</t>
  </si>
  <si>
    <t>Metric Width</t>
  </si>
  <si>
    <t>Metric Height</t>
  </si>
  <si>
    <t>Door Style</t>
  </si>
  <si>
    <t>Quantity</t>
  </si>
  <si>
    <t>Panels</t>
  </si>
  <si>
    <t>Inside Passes</t>
  </si>
  <si>
    <t>Outside Passes</t>
  </si>
  <si>
    <t>Global Settings</t>
  </si>
  <si>
    <t>Chord Height</t>
  </si>
  <si>
    <t>Shoulder Height</t>
  </si>
  <si>
    <t>Radius Factor</t>
  </si>
  <si>
    <t>Leg Length</t>
  </si>
  <si>
    <t>Blend Radius</t>
  </si>
  <si>
    <t>Lead Setup</t>
  </si>
  <si>
    <t>Grain</t>
  </si>
  <si>
    <t>Item</t>
  </si>
  <si>
    <t>Job</t>
  </si>
  <si>
    <t>Dealer</t>
  </si>
  <si>
    <t>Tag</t>
  </si>
  <si>
    <t>Extras</t>
  </si>
  <si>
    <t>Pocket</t>
  </si>
  <si>
    <t>Upper Door</t>
  </si>
  <si>
    <t>Base Door</t>
  </si>
  <si>
    <t>Drawerfront</t>
  </si>
  <si>
    <t>Frame Only</t>
  </si>
  <si>
    <t>RIGID THERMO-FOIL (RTF)</t>
  </si>
  <si>
    <t xml:space="preserve">   ORDER FORM (METRIC)</t>
  </si>
  <si>
    <t>JOB #</t>
  </si>
  <si>
    <t>Dealer Name</t>
  </si>
  <si>
    <t>Date</t>
  </si>
  <si>
    <t>Tag / P.O.#</t>
  </si>
  <si>
    <t>Requested Ship Date</t>
  </si>
  <si>
    <t>Colour</t>
  </si>
  <si>
    <t xml:space="preserve">Drill </t>
  </si>
  <si>
    <t>RTF Backing</t>
  </si>
  <si>
    <t>Cut by:</t>
  </si>
  <si>
    <t xml:space="preserve">Routed by: </t>
  </si>
  <si>
    <t xml:space="preserve">Drilled by: </t>
  </si>
  <si>
    <t>Finger Grooves</t>
  </si>
  <si>
    <t>Assembled by:</t>
  </si>
  <si>
    <t>Channels (10-5 &amp; 10-6 only)</t>
  </si>
  <si>
    <t>UPPER DOORS</t>
  </si>
  <si>
    <t>BASE DOORS</t>
  </si>
  <si>
    <t>DRAWERFRONTS</t>
  </si>
  <si>
    <t xml:space="preserve">  Select Door Design</t>
  </si>
  <si>
    <t>Series</t>
  </si>
  <si>
    <t>Lites</t>
  </si>
  <si>
    <t>Matching Backs</t>
  </si>
  <si>
    <t>Gables</t>
  </si>
  <si>
    <t>Valance</t>
  </si>
  <si>
    <t>Drilling</t>
  </si>
  <si>
    <t>ALMOND</t>
  </si>
  <si>
    <t>ANTIQUE WHITE</t>
  </si>
  <si>
    <t>N/A</t>
  </si>
  <si>
    <t>ARCH</t>
  </si>
  <si>
    <t>WHITE</t>
  </si>
  <si>
    <t>5/8"</t>
  </si>
  <si>
    <t>PLAIN</t>
  </si>
  <si>
    <t>NO DRILLING</t>
  </si>
  <si>
    <t>ALPINE WHITE</t>
  </si>
  <si>
    <t>YES</t>
  </si>
  <si>
    <t>SQUARE</t>
  </si>
  <si>
    <t>RAW</t>
  </si>
  <si>
    <t>ROMAN ARCH</t>
  </si>
  <si>
    <t>STANDARD DRILLING</t>
  </si>
  <si>
    <t>NO</t>
  </si>
  <si>
    <t>CATHEDRAL</t>
  </si>
  <si>
    <t>FILLER</t>
  </si>
  <si>
    <t>SCALLOPED</t>
  </si>
  <si>
    <t>CUSTOM DRILLING</t>
  </si>
  <si>
    <t>BLACK CRYSTAL</t>
  </si>
  <si>
    <t>PORT MAPLE</t>
  </si>
  <si>
    <t>FLUTES</t>
  </si>
  <si>
    <t>BRUSHED ALUMINUM</t>
  </si>
  <si>
    <t>KICKS</t>
  </si>
  <si>
    <t>CASCADE WHITE</t>
  </si>
  <si>
    <t>DUNEWOOD</t>
  </si>
  <si>
    <t>SECRET MAPLE</t>
  </si>
  <si>
    <t>HIGH GLOSS WHITE</t>
  </si>
  <si>
    <t>MDF RAW</t>
  </si>
  <si>
    <t>VERONA CHERRY</t>
  </si>
  <si>
    <t>WILD APPLE</t>
  </si>
  <si>
    <t>WHITE ASH</t>
  </si>
  <si>
    <t>10 000</t>
  </si>
  <si>
    <t>10 100</t>
  </si>
  <si>
    <t>10 500</t>
  </si>
  <si>
    <t>10 600</t>
  </si>
  <si>
    <t>11 000</t>
  </si>
  <si>
    <t>Colours</t>
  </si>
  <si>
    <t>Laminate</t>
  </si>
  <si>
    <t>4 LITES</t>
  </si>
  <si>
    <t>6 LITES</t>
  </si>
  <si>
    <t>8 LITES</t>
  </si>
  <si>
    <t>Options</t>
  </si>
  <si>
    <t>Design</t>
  </si>
  <si>
    <t>Backing</t>
  </si>
  <si>
    <t>Style</t>
  </si>
  <si>
    <t>Inside Pass</t>
  </si>
  <si>
    <t>Outside Pass</t>
  </si>
  <si>
    <t>Global Setting</t>
  </si>
  <si>
    <t>Outside Drawer</t>
  </si>
  <si>
    <t>Global Drawer</t>
  </si>
  <si>
    <t>Ramp</t>
  </si>
  <si>
    <t>Glass Inside</t>
  </si>
  <si>
    <t>Glass Global</t>
  </si>
  <si>
    <t>Glass Ramp</t>
  </si>
  <si>
    <t>930sO</t>
  </si>
  <si>
    <t>930sG</t>
  </si>
  <si>
    <t>Std Ramp</t>
  </si>
  <si>
    <t>900glass</t>
  </si>
  <si>
    <t>900glassG</t>
  </si>
  <si>
    <t>Lite Ramp</t>
  </si>
  <si>
    <t>930s</t>
  </si>
  <si>
    <t>930DFsG</t>
  </si>
  <si>
    <t>930glass</t>
  </si>
  <si>
    <t>971s</t>
  </si>
  <si>
    <t>1sO</t>
  </si>
  <si>
    <t>971sG</t>
  </si>
  <si>
    <t>1DFsO</t>
  </si>
  <si>
    <t>971DFsG</t>
  </si>
  <si>
    <t>971GlassIN</t>
  </si>
  <si>
    <t>9710GlassG</t>
  </si>
  <si>
    <t>980s</t>
  </si>
  <si>
    <t>980sO</t>
  </si>
  <si>
    <t>980sG</t>
  </si>
  <si>
    <t>980DFsO</t>
  </si>
  <si>
    <t>980DFsG</t>
  </si>
  <si>
    <t>1000sO</t>
  </si>
  <si>
    <t>1000sG</t>
  </si>
  <si>
    <t>GlassIN</t>
  </si>
  <si>
    <t>GlassG</t>
  </si>
  <si>
    <t>6DFsO</t>
  </si>
  <si>
    <t>6000sG</t>
  </si>
  <si>
    <t>1100sO</t>
  </si>
  <si>
    <t>1100sG</t>
  </si>
  <si>
    <t>2000s</t>
  </si>
  <si>
    <t>2000sO</t>
  </si>
  <si>
    <t>2000sG</t>
  </si>
  <si>
    <t>2DFO</t>
  </si>
  <si>
    <t>2DFg</t>
  </si>
  <si>
    <t>21g</t>
  </si>
  <si>
    <t>21DFg</t>
  </si>
  <si>
    <t>3000s</t>
  </si>
  <si>
    <t>3000sO</t>
  </si>
  <si>
    <t>3000sG</t>
  </si>
  <si>
    <t>3DFsO</t>
  </si>
  <si>
    <t>3DFsG</t>
  </si>
  <si>
    <t>3GlassIN</t>
  </si>
  <si>
    <t>3GlassG</t>
  </si>
  <si>
    <t>4000s</t>
  </si>
  <si>
    <t>4000sO</t>
  </si>
  <si>
    <t>4000sG</t>
  </si>
  <si>
    <t>4DFsO</t>
  </si>
  <si>
    <t>4DFsG</t>
  </si>
  <si>
    <t>5000s</t>
  </si>
  <si>
    <t>5000sO</t>
  </si>
  <si>
    <t>5000sG</t>
  </si>
  <si>
    <t>5DFsO</t>
  </si>
  <si>
    <t>5DFsG</t>
  </si>
  <si>
    <t>6000s</t>
  </si>
  <si>
    <t>6000sO</t>
  </si>
  <si>
    <t>6DFsG</t>
  </si>
  <si>
    <t>6500s</t>
  </si>
  <si>
    <t>6500sO</t>
  </si>
  <si>
    <t>6500sG</t>
  </si>
  <si>
    <t>65DFsO</t>
  </si>
  <si>
    <t>65DFsG</t>
  </si>
  <si>
    <t>7000s</t>
  </si>
  <si>
    <t>7000sO</t>
  </si>
  <si>
    <t>7000sG</t>
  </si>
  <si>
    <t>7DFsO</t>
  </si>
  <si>
    <t>7DFsG</t>
  </si>
  <si>
    <t>7GlassIN</t>
  </si>
  <si>
    <t>7GlassG</t>
  </si>
  <si>
    <t>7101s</t>
  </si>
  <si>
    <t>7101sG</t>
  </si>
  <si>
    <t>7101DFsG</t>
  </si>
  <si>
    <t>7101glass</t>
  </si>
  <si>
    <t>7101glassG</t>
  </si>
  <si>
    <t>Classics</t>
  </si>
  <si>
    <t>ClassicsO</t>
  </si>
  <si>
    <t>ClassicsG</t>
  </si>
  <si>
    <t>ClassicDFsO</t>
  </si>
  <si>
    <t>ClassicDFsG</t>
  </si>
  <si>
    <t>ClassicsGlass</t>
  </si>
  <si>
    <t>ClassicsGlassG</t>
  </si>
  <si>
    <t>8000s</t>
  </si>
  <si>
    <t>Cabinetmart Inc</t>
  </si>
  <si>
    <t>STRATUS SUPERMATTE</t>
  </si>
  <si>
    <t>Cabinetmart Inc.</t>
  </si>
  <si>
    <t>Telephone: (519) 679-1297</t>
  </si>
  <si>
    <t>Toll Free: 1-800-662-9488</t>
  </si>
  <si>
    <t>Fax: (519) 679-2410</t>
  </si>
  <si>
    <t>Email: info@cabinetmart.com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</si>
</sst>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2"/>
      <name val="Arial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</font>
    <font>
      <u/>
      <sz val="10"/>
      <name val="Arial"/>
      <family val="2"/>
    </font>
    <font>
      <sz val="12"/>
      <color indexed="9"/>
      <name val="Arial"/>
      <family val="2"/>
    </font>
    <font>
      <b/>
      <sz val="22"/>
      <name val="IDAutomationHC39XXL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Protection="1"/>
    <xf numFmtId="0" fontId="0" fillId="0" borderId="0" xfId="0" applyNumberFormat="1"/>
    <xf numFmtId="0" fontId="0" fillId="0" borderId="0" xfId="0" applyNumberFormat="1" applyBorder="1"/>
    <xf numFmtId="2" fontId="0" fillId="0" borderId="0" xfId="0" applyNumberFormat="1"/>
    <xf numFmtId="0" fontId="0" fillId="0" borderId="0" xfId="0" applyNumberFormat="1" applyAlignment="1"/>
    <xf numFmtId="1" fontId="0" fillId="0" borderId="0" xfId="0" applyNumberFormat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Fill="1" applyBorder="1" applyProtection="1"/>
    <xf numFmtId="0" fontId="7" fillId="0" borderId="0" xfId="0" applyFont="1" applyBorder="1" applyProtection="1"/>
    <xf numFmtId="0" fontId="0" fillId="0" borderId="0" xfId="0" applyFill="1" applyBorder="1" applyProtection="1"/>
    <xf numFmtId="0" fontId="5" fillId="2" borderId="8" xfId="0" applyFont="1" applyFill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1" fillId="0" borderId="0" xfId="0" applyFont="1" applyBorder="1" applyProtection="1"/>
    <xf numFmtId="0" fontId="5" fillId="2" borderId="9" xfId="0" applyFont="1" applyFill="1" applyBorder="1" applyProtection="1"/>
    <xf numFmtId="0" fontId="0" fillId="0" borderId="6" xfId="0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11" fillId="2" borderId="2" xfId="0" applyFont="1" applyFill="1" applyBorder="1" applyProtection="1"/>
    <xf numFmtId="0" fontId="12" fillId="2" borderId="2" xfId="0" applyFont="1" applyFill="1" applyBorder="1" applyProtection="1"/>
    <xf numFmtId="0" fontId="14" fillId="0" borderId="0" xfId="0" applyFont="1" applyBorder="1" applyProtection="1"/>
    <xf numFmtId="0" fontId="0" fillId="3" borderId="0" xfId="0" applyFill="1" applyBorder="1" applyAlignment="1" applyProtection="1"/>
    <xf numFmtId="0" fontId="0" fillId="3" borderId="10" xfId="0" applyFill="1" applyBorder="1" applyAlignment="1" applyProtection="1">
      <alignment horizontal="center"/>
    </xf>
    <xf numFmtId="0" fontId="5" fillId="2" borderId="11" xfId="0" applyFont="1" applyFill="1" applyBorder="1" applyProtection="1"/>
    <xf numFmtId="0" fontId="11" fillId="2" borderId="10" xfId="0" applyFont="1" applyFill="1" applyBorder="1" applyProtection="1"/>
    <xf numFmtId="0" fontId="0" fillId="3" borderId="0" xfId="0" applyFill="1" applyBorder="1" applyProtection="1"/>
    <xf numFmtId="0" fontId="0" fillId="3" borderId="13" xfId="0" applyFill="1" applyBorder="1" applyAlignment="1" applyProtection="1"/>
    <xf numFmtId="0" fontId="11" fillId="2" borderId="4" xfId="0" applyFont="1" applyFill="1" applyBorder="1" applyProtection="1"/>
    <xf numFmtId="0" fontId="11" fillId="2" borderId="14" xfId="0" applyFont="1" applyFill="1" applyBorder="1" applyProtection="1"/>
    <xf numFmtId="0" fontId="15" fillId="0" borderId="0" xfId="0" applyFont="1" applyFill="1" applyBorder="1" applyProtection="1"/>
    <xf numFmtId="0" fontId="5" fillId="2" borderId="15" xfId="0" applyFont="1" applyFill="1" applyBorder="1" applyProtection="1"/>
    <xf numFmtId="0" fontId="0" fillId="2" borderId="14" xfId="0" applyFill="1" applyBorder="1" applyProtection="1"/>
    <xf numFmtId="0" fontId="1" fillId="4" borderId="16" xfId="0" applyFont="1" applyFill="1" applyBorder="1" applyAlignment="1" applyProtection="1">
      <alignment horizontal="center"/>
    </xf>
    <xf numFmtId="0" fontId="1" fillId="4" borderId="17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" fillId="4" borderId="18" xfId="0" applyFont="1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0" fillId="4" borderId="19" xfId="0" applyFont="1" applyFill="1" applyBorder="1" applyAlignment="1" applyProtection="1">
      <alignment horizontal="center"/>
    </xf>
    <xf numFmtId="0" fontId="10" fillId="4" borderId="20" xfId="0" applyFont="1" applyFill="1" applyBorder="1" applyAlignment="1" applyProtection="1">
      <alignment horizontal="center"/>
    </xf>
    <xf numFmtId="0" fontId="0" fillId="4" borderId="21" xfId="0" applyFill="1" applyBorder="1" applyProtection="1"/>
    <xf numFmtId="0" fontId="0" fillId="4" borderId="22" xfId="0" applyFill="1" applyBorder="1" applyProtection="1"/>
    <xf numFmtId="0" fontId="10" fillId="0" borderId="23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0" borderId="22" xfId="0" applyFill="1" applyBorder="1" applyProtection="1"/>
    <xf numFmtId="0" fontId="10" fillId="0" borderId="24" xfId="0" applyFont="1" applyFill="1" applyBorder="1" applyAlignment="1" applyProtection="1">
      <alignment horizontal="center"/>
    </xf>
    <xf numFmtId="0" fontId="10" fillId="0" borderId="21" xfId="0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/>
    </xf>
    <xf numFmtId="0" fontId="7" fillId="0" borderId="15" xfId="0" applyFont="1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0" fontId="6" fillId="0" borderId="25" xfId="0" applyFont="1" applyBorder="1" applyAlignment="1" applyProtection="1">
      <alignment horizontal="center"/>
      <protection locked="0"/>
    </xf>
    <xf numFmtId="1" fontId="6" fillId="0" borderId="25" xfId="0" applyNumberFormat="1" applyFont="1" applyBorder="1" applyProtection="1">
      <protection locked="0"/>
    </xf>
    <xf numFmtId="1" fontId="6" fillId="0" borderId="26" xfId="0" applyNumberFormat="1" applyFont="1" applyBorder="1" applyProtection="1">
      <protection locked="0"/>
    </xf>
    <xf numFmtId="0" fontId="7" fillId="0" borderId="27" xfId="0" applyFont="1" applyBorder="1" applyAlignment="1" applyProtection="1">
      <protection locked="0"/>
    </xf>
    <xf numFmtId="1" fontId="6" fillId="0" borderId="28" xfId="0" applyNumberFormat="1" applyFont="1" applyBorder="1" applyProtection="1">
      <protection locked="0"/>
    </xf>
    <xf numFmtId="13" fontId="8" fillId="0" borderId="0" xfId="0" applyNumberFormat="1" applyFont="1" applyBorder="1" applyProtection="1"/>
    <xf numFmtId="0" fontId="6" fillId="0" borderId="27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1" fontId="6" fillId="0" borderId="8" xfId="0" applyNumberFormat="1" applyFont="1" applyBorder="1" applyProtection="1">
      <protection locked="0"/>
    </xf>
    <xf numFmtId="0" fontId="7" fillId="0" borderId="30" xfId="0" applyFont="1" applyBorder="1" applyAlignment="1" applyProtection="1">
      <protection locked="0"/>
    </xf>
    <xf numFmtId="0" fontId="6" fillId="0" borderId="30" xfId="0" applyFont="1" applyBorder="1" applyAlignment="1" applyProtection="1">
      <alignment horizontal="center"/>
      <protection locked="0"/>
    </xf>
    <xf numFmtId="1" fontId="6" fillId="0" borderId="8" xfId="0" applyNumberFormat="1" applyFont="1" applyBorder="1" applyAlignment="1" applyProtection="1">
      <protection locked="0"/>
    </xf>
    <xf numFmtId="0" fontId="6" fillId="0" borderId="18" xfId="0" applyFont="1" applyBorder="1" applyAlignment="1" applyProtection="1">
      <alignment horizontal="center"/>
      <protection locked="0"/>
    </xf>
    <xf numFmtId="1" fontId="6" fillId="0" borderId="16" xfId="0" applyNumberFormat="1" applyFont="1" applyBorder="1" applyProtection="1">
      <protection locked="0"/>
    </xf>
    <xf numFmtId="1" fontId="6" fillId="0" borderId="17" xfId="0" applyNumberFormat="1" applyFont="1" applyBorder="1" applyProtection="1">
      <protection locked="0"/>
    </xf>
    <xf numFmtId="0" fontId="0" fillId="0" borderId="31" xfId="0" applyBorder="1" applyProtection="1"/>
    <xf numFmtId="0" fontId="7" fillId="0" borderId="19" xfId="0" applyFont="1" applyBorder="1" applyAlignment="1" applyProtection="1">
      <protection locked="0"/>
    </xf>
    <xf numFmtId="0" fontId="7" fillId="0" borderId="20" xfId="0" applyFont="1" applyBorder="1" applyAlignment="1" applyProtection="1">
      <protection locked="0"/>
    </xf>
    <xf numFmtId="0" fontId="6" fillId="0" borderId="20" xfId="0" applyFont="1" applyBorder="1" applyAlignment="1" applyProtection="1">
      <alignment horizontal="center"/>
      <protection locked="0"/>
    </xf>
    <xf numFmtId="1" fontId="6" fillId="0" borderId="20" xfId="0" applyNumberFormat="1" applyFont="1" applyBorder="1" applyProtection="1">
      <protection locked="0"/>
    </xf>
    <xf numFmtId="1" fontId="6" fillId="0" borderId="32" xfId="0" applyNumberFormat="1" applyFont="1" applyBorder="1" applyProtection="1">
      <protection locked="0"/>
    </xf>
    <xf numFmtId="0" fontId="7" fillId="0" borderId="23" xfId="0" applyFont="1" applyBorder="1" applyAlignment="1" applyProtection="1"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hidden="1"/>
    </xf>
    <xf numFmtId="0" fontId="0" fillId="0" borderId="0" xfId="0" applyNumberFormat="1" applyBorder="1" applyProtection="1"/>
    <xf numFmtId="0" fontId="10" fillId="0" borderId="0" xfId="0" applyFont="1" applyBorder="1" applyAlignment="1" applyProtection="1">
      <alignment horizontal="center"/>
    </xf>
    <xf numFmtId="0" fontId="1" fillId="0" borderId="33" xfId="0" applyFont="1" applyBorder="1" applyAlignment="1" applyProtection="1"/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7" fillId="0" borderId="28" xfId="0" applyFont="1" applyBorder="1" applyProtection="1">
      <protection hidden="1"/>
    </xf>
    <xf numFmtId="0" fontId="1" fillId="4" borderId="34" xfId="0" applyFont="1" applyFill="1" applyBorder="1" applyAlignment="1" applyProtection="1">
      <alignment horizontal="center"/>
    </xf>
    <xf numFmtId="0" fontId="1" fillId="4" borderId="35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36" xfId="0" applyFont="1" applyBorder="1" applyProtection="1"/>
    <xf numFmtId="0" fontId="6" fillId="0" borderId="37" xfId="0" applyFont="1" applyBorder="1" applyAlignment="1" applyProtection="1">
      <alignment horizontal="center"/>
      <protection locked="0"/>
    </xf>
    <xf numFmtId="1" fontId="6" fillId="0" borderId="38" xfId="0" applyNumberFormat="1" applyFont="1" applyBorder="1" applyProtection="1">
      <protection locked="0"/>
    </xf>
    <xf numFmtId="0" fontId="0" fillId="0" borderId="11" xfId="0" applyBorder="1" applyProtection="1"/>
    <xf numFmtId="0" fontId="7" fillId="0" borderId="26" xfId="0" applyFont="1" applyBorder="1" applyProtection="1">
      <protection hidden="1"/>
    </xf>
    <xf numFmtId="0" fontId="7" fillId="0" borderId="15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6" fillId="0" borderId="25" xfId="0" applyNumberFormat="1" applyFont="1" applyBorder="1" applyAlignment="1" applyProtection="1">
      <alignment horizontal="center"/>
      <protection locked="0"/>
    </xf>
    <xf numFmtId="1" fontId="6" fillId="0" borderId="25" xfId="0" applyNumberFormat="1" applyFont="1" applyBorder="1" applyAlignment="1" applyProtection="1">
      <protection locked="0"/>
    </xf>
    <xf numFmtId="0" fontId="14" fillId="0" borderId="28" xfId="0" applyFont="1" applyBorder="1" applyProtection="1"/>
    <xf numFmtId="0" fontId="7" fillId="0" borderId="29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14" fillId="0" borderId="26" xfId="0" applyFont="1" applyBorder="1" applyProtection="1"/>
    <xf numFmtId="0" fontId="10" fillId="0" borderId="0" xfId="0" applyFont="1" applyFill="1" applyBorder="1" applyProtection="1"/>
    <xf numFmtId="0" fontId="7" fillId="0" borderId="32" xfId="0" applyFont="1" applyBorder="1" applyProtection="1">
      <protection hidden="1"/>
    </xf>
    <xf numFmtId="0" fontId="7" fillId="0" borderId="39" xfId="0" applyFont="1" applyBorder="1" applyProtection="1">
      <protection locked="0"/>
    </xf>
    <xf numFmtId="0" fontId="7" fillId="0" borderId="35" xfId="0" applyFont="1" applyBorder="1" applyProtection="1"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1" fontId="6" fillId="0" borderId="35" xfId="0" applyNumberFormat="1" applyFont="1" applyBorder="1" applyAlignment="1" applyProtection="1">
      <protection locked="0"/>
    </xf>
    <xf numFmtId="0" fontId="14" fillId="0" borderId="31" xfId="0" applyFont="1" applyBorder="1" applyProtection="1"/>
    <xf numFmtId="0" fontId="1" fillId="0" borderId="23" xfId="0" applyFont="1" applyBorder="1" applyAlignment="1" applyProtection="1">
      <alignment horizontal="center"/>
    </xf>
    <xf numFmtId="1" fontId="1" fillId="0" borderId="20" xfId="0" applyNumberFormat="1" applyFont="1" applyBorder="1" applyAlignment="1" applyProtection="1">
      <alignment horizontal="center"/>
    </xf>
    <xf numFmtId="0" fontId="7" fillId="0" borderId="0" xfId="0" applyFont="1" applyProtection="1"/>
    <xf numFmtId="0" fontId="3" fillId="0" borderId="28" xfId="0" applyFont="1" applyBorder="1" applyProtection="1"/>
    <xf numFmtId="0" fontId="7" fillId="0" borderId="40" xfId="0" applyFont="1" applyBorder="1" applyProtection="1">
      <protection hidden="1"/>
    </xf>
    <xf numFmtId="0" fontId="6" fillId="0" borderId="41" xfId="0" applyFont="1" applyBorder="1" applyAlignment="1" applyProtection="1">
      <alignment horizontal="center"/>
      <protection locked="0"/>
    </xf>
    <xf numFmtId="1" fontId="6" fillId="0" borderId="35" xfId="0" applyNumberFormat="1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protection locked="0"/>
    </xf>
    <xf numFmtId="1" fontId="7" fillId="0" borderId="40" xfId="0" applyNumberFormat="1" applyFont="1" applyBorder="1" applyProtection="1">
      <protection hidden="1"/>
    </xf>
    <xf numFmtId="0" fontId="7" fillId="0" borderId="19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1" fontId="6" fillId="0" borderId="20" xfId="0" applyNumberFormat="1" applyFont="1" applyBorder="1" applyAlignment="1" applyProtection="1">
      <protection locked="0"/>
    </xf>
    <xf numFmtId="0" fontId="3" fillId="0" borderId="32" xfId="0" applyFont="1" applyBorder="1" applyProtection="1"/>
    <xf numFmtId="164" fontId="10" fillId="0" borderId="0" xfId="0" applyNumberFormat="1" applyFont="1" applyFill="1" applyBorder="1" applyProtection="1"/>
    <xf numFmtId="0" fontId="0" fillId="0" borderId="10" xfId="0" applyBorder="1" applyProtection="1"/>
    <xf numFmtId="0" fontId="17" fillId="0" borderId="10" xfId="0" applyFont="1" applyBorder="1" applyProtection="1"/>
    <xf numFmtId="0" fontId="7" fillId="0" borderId="10" xfId="0" applyFont="1" applyBorder="1" applyProtection="1"/>
    <xf numFmtId="0" fontId="10" fillId="0" borderId="10" xfId="0" applyFont="1" applyFill="1" applyBorder="1" applyProtection="1"/>
    <xf numFmtId="0" fontId="0" fillId="0" borderId="10" xfId="0" applyFill="1" applyBorder="1" applyProtection="1"/>
    <xf numFmtId="0" fontId="0" fillId="0" borderId="14" xfId="0" applyBorder="1" applyProtection="1"/>
    <xf numFmtId="0" fontId="17" fillId="0" borderId="0" xfId="0" applyFont="1" applyBorder="1" applyProtection="1"/>
    <xf numFmtId="0" fontId="1" fillId="0" borderId="19" xfId="0" applyFont="1" applyFill="1" applyBorder="1" applyProtection="1"/>
    <xf numFmtId="0" fontId="1" fillId="0" borderId="20" xfId="0" applyFont="1" applyFill="1" applyBorder="1" applyProtection="1"/>
    <xf numFmtId="0" fontId="1" fillId="0" borderId="42" xfId="0" applyFont="1" applyFill="1" applyBorder="1" applyAlignment="1" applyProtection="1">
      <alignment horizontal="center"/>
    </xf>
    <xf numFmtId="0" fontId="1" fillId="0" borderId="43" xfId="0" applyFont="1" applyBorder="1" applyProtection="1"/>
    <xf numFmtId="0" fontId="1" fillId="0" borderId="44" xfId="0" applyFont="1" applyFill="1" applyBorder="1" applyAlignment="1" applyProtection="1">
      <alignment horizontal="left"/>
    </xf>
    <xf numFmtId="0" fontId="0" fillId="0" borderId="45" xfId="0" applyBorder="1"/>
    <xf numFmtId="0" fontId="1" fillId="0" borderId="23" xfId="0" applyFont="1" applyBorder="1" applyProtection="1"/>
    <xf numFmtId="0" fontId="1" fillId="0" borderId="20" xfId="0" applyFont="1" applyBorder="1" applyProtection="1"/>
    <xf numFmtId="0" fontId="1" fillId="0" borderId="42" xfId="0" applyFont="1" applyBorder="1" applyProtection="1"/>
    <xf numFmtId="0" fontId="6" fillId="0" borderId="46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6" fillId="0" borderId="19" xfId="0" applyFont="1" applyBorder="1" applyAlignment="1" applyProtection="1">
      <alignment horizontal="center"/>
      <protection locked="0"/>
    </xf>
    <xf numFmtId="0" fontId="18" fillId="0" borderId="10" xfId="0" applyFont="1" applyBorder="1" applyProtection="1"/>
    <xf numFmtId="0" fontId="3" fillId="0" borderId="10" xfId="0" applyFont="1" applyBorder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/>
    <xf numFmtId="0" fontId="0" fillId="0" borderId="10" xfId="0" applyBorder="1" applyAlignment="1" applyProtection="1">
      <alignment horizontal="center"/>
    </xf>
    <xf numFmtId="164" fontId="0" fillId="0" borderId="0" xfId="0" applyNumberFormat="1" applyBorder="1" applyProtection="1"/>
    <xf numFmtId="164" fontId="0" fillId="0" borderId="47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0" fillId="2" borderId="13" xfId="0" applyFill="1" applyBorder="1" applyProtection="1"/>
    <xf numFmtId="0" fontId="0" fillId="2" borderId="12" xfId="0" applyFill="1" applyBorder="1" applyProtection="1"/>
    <xf numFmtId="0" fontId="0" fillId="0" borderId="48" xfId="0" applyBorder="1" applyProtection="1"/>
    <xf numFmtId="0" fontId="7" fillId="3" borderId="15" xfId="0" applyFont="1" applyFill="1" applyBorder="1" applyAlignment="1" applyProtection="1">
      <protection locked="0"/>
    </xf>
    <xf numFmtId="0" fontId="7" fillId="3" borderId="25" xfId="0" applyFont="1" applyFill="1" applyBorder="1" applyAlignment="1" applyProtection="1">
      <protection locked="0"/>
    </xf>
    <xf numFmtId="2" fontId="6" fillId="0" borderId="38" xfId="0" applyNumberFormat="1" applyFont="1" applyBorder="1" applyProtection="1">
      <protection locked="0"/>
    </xf>
    <xf numFmtId="2" fontId="6" fillId="0" borderId="49" xfId="0" applyNumberFormat="1" applyFont="1" applyBorder="1" applyProtection="1">
      <protection locked="0"/>
    </xf>
    <xf numFmtId="0" fontId="7" fillId="3" borderId="27" xfId="0" applyFont="1" applyFill="1" applyBorder="1" applyAlignment="1" applyProtection="1">
      <protection locked="0"/>
    </xf>
    <xf numFmtId="0" fontId="7" fillId="3" borderId="29" xfId="0" applyFont="1" applyFill="1" applyBorder="1" applyAlignment="1" applyProtection="1">
      <protection locked="0"/>
    </xf>
    <xf numFmtId="0" fontId="7" fillId="3" borderId="8" xfId="0" applyFont="1" applyFill="1" applyBorder="1" applyAlignment="1" applyProtection="1">
      <protection locked="0"/>
    </xf>
    <xf numFmtId="2" fontId="6" fillId="0" borderId="8" xfId="0" applyNumberFormat="1" applyFont="1" applyBorder="1" applyProtection="1">
      <protection locked="0"/>
    </xf>
    <xf numFmtId="2" fontId="6" fillId="0" borderId="26" xfId="0" applyNumberFormat="1" applyFont="1" applyBorder="1" applyProtection="1">
      <protection locked="0"/>
    </xf>
    <xf numFmtId="0" fontId="7" fillId="3" borderId="30" xfId="0" applyFont="1" applyFill="1" applyBorder="1" applyAlignment="1" applyProtection="1">
      <protection locked="0"/>
    </xf>
    <xf numFmtId="0" fontId="7" fillId="3" borderId="19" xfId="0" applyFont="1" applyFill="1" applyBorder="1" applyAlignment="1" applyProtection="1">
      <protection locked="0"/>
    </xf>
    <xf numFmtId="0" fontId="7" fillId="3" borderId="20" xfId="0" applyFont="1" applyFill="1" applyBorder="1" applyAlignment="1" applyProtection="1">
      <protection locked="0"/>
    </xf>
    <xf numFmtId="2" fontId="6" fillId="0" borderId="20" xfId="0" applyNumberFormat="1" applyFont="1" applyBorder="1" applyProtection="1">
      <protection locked="0"/>
    </xf>
    <xf numFmtId="2" fontId="6" fillId="0" borderId="32" xfId="0" applyNumberFormat="1" applyFont="1" applyBorder="1" applyProtection="1">
      <protection locked="0"/>
    </xf>
    <xf numFmtId="0" fontId="7" fillId="3" borderId="23" xfId="0" applyFont="1" applyFill="1" applyBorder="1" applyAlignment="1" applyProtection="1">
      <protection locked="0"/>
    </xf>
    <xf numFmtId="164" fontId="0" fillId="3" borderId="0" xfId="0" applyNumberFormat="1" applyFill="1" applyBorder="1" applyProtection="1">
      <protection hidden="1"/>
    </xf>
    <xf numFmtId="0" fontId="0" fillId="3" borderId="0" xfId="0" applyFill="1" applyBorder="1" applyProtection="1">
      <protection hidden="1"/>
    </xf>
    <xf numFmtId="164" fontId="0" fillId="3" borderId="0" xfId="0" applyNumberFormat="1" applyFill="1" applyProtection="1"/>
    <xf numFmtId="0" fontId="6" fillId="0" borderId="38" xfId="0" applyFont="1" applyBorder="1" applyAlignment="1" applyProtection="1">
      <alignment horizontal="center"/>
      <protection locked="0"/>
    </xf>
    <xf numFmtId="0" fontId="7" fillId="0" borderId="17" xfId="0" applyFont="1" applyBorder="1" applyProtection="1">
      <protection hidden="1"/>
    </xf>
    <xf numFmtId="0" fontId="7" fillId="3" borderId="46" xfId="0" applyFont="1" applyFill="1" applyBorder="1" applyProtection="1">
      <protection locked="0"/>
    </xf>
    <xf numFmtId="0" fontId="7" fillId="3" borderId="38" xfId="0" applyFont="1" applyFill="1" applyBorder="1" applyProtection="1">
      <protection locked="0"/>
    </xf>
    <xf numFmtId="0" fontId="7" fillId="3" borderId="29" xfId="0" applyFont="1" applyFill="1" applyBorder="1" applyProtection="1">
      <protection locked="0"/>
    </xf>
    <xf numFmtId="0" fontId="7" fillId="3" borderId="8" xfId="0" applyFont="1" applyFill="1" applyBorder="1" applyProtection="1">
      <protection locked="0"/>
    </xf>
    <xf numFmtId="0" fontId="7" fillId="3" borderId="39" xfId="0" applyFont="1" applyFill="1" applyBorder="1" applyProtection="1">
      <protection locked="0"/>
    </xf>
    <xf numFmtId="0" fontId="7" fillId="3" borderId="35" xfId="0" applyFon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7" fillId="3" borderId="25" xfId="0" applyFont="1" applyFill="1" applyBorder="1" applyProtection="1">
      <protection locked="0"/>
    </xf>
    <xf numFmtId="0" fontId="7" fillId="3" borderId="34" xfId="0" applyFont="1" applyFill="1" applyBorder="1" applyProtection="1">
      <protection locked="0"/>
    </xf>
    <xf numFmtId="0" fontId="7" fillId="3" borderId="16" xfId="0" applyFont="1" applyFill="1" applyBorder="1" applyProtection="1">
      <protection locked="0"/>
    </xf>
    <xf numFmtId="0" fontId="7" fillId="3" borderId="19" xfId="0" applyFont="1" applyFill="1" applyBorder="1" applyProtection="1">
      <protection locked="0"/>
    </xf>
    <xf numFmtId="0" fontId="7" fillId="3" borderId="20" xfId="0" applyFont="1" applyFill="1" applyBorder="1" applyProtection="1">
      <protection locked="0"/>
    </xf>
    <xf numFmtId="0" fontId="7" fillId="0" borderId="28" xfId="0" applyFont="1" applyBorder="1" applyAlignment="1" applyProtection="1">
      <alignment horizontal="left"/>
      <protection locked="0"/>
    </xf>
    <xf numFmtId="0" fontId="3" fillId="0" borderId="28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14" fillId="0" borderId="50" xfId="0" applyFont="1" applyBorder="1" applyProtection="1"/>
    <xf numFmtId="0" fontId="14" fillId="0" borderId="51" xfId="0" applyFont="1" applyBorder="1" applyProtection="1"/>
    <xf numFmtId="0" fontId="14" fillId="0" borderId="52" xfId="0" applyFont="1" applyBorder="1" applyProtection="1"/>
    <xf numFmtId="0" fontId="7" fillId="0" borderId="22" xfId="0" applyFont="1" applyBorder="1" applyProtection="1">
      <protection hidden="1"/>
    </xf>
    <xf numFmtId="0" fontId="0" fillId="0" borderId="0" xfId="0" applyProtection="1">
      <protection hidden="1"/>
    </xf>
    <xf numFmtId="0" fontId="17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locked="0" hidden="1"/>
    </xf>
    <xf numFmtId="0" fontId="0" fillId="0" borderId="10" xfId="0" applyBorder="1" applyProtection="1"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locked="0" hidden="1"/>
    </xf>
    <xf numFmtId="0" fontId="0" fillId="0" borderId="13" xfId="0" applyBorder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1" fontId="0" fillId="0" borderId="0" xfId="0" applyNumberFormat="1" applyProtection="1">
      <protection hidden="1"/>
    </xf>
    <xf numFmtId="2" fontId="0" fillId="0" borderId="0" xfId="0" applyNumberFormat="1" applyBorder="1" applyProtection="1"/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right"/>
      <protection hidden="1"/>
    </xf>
    <xf numFmtId="2" fontId="7" fillId="0" borderId="0" xfId="0" applyNumberFormat="1" applyFont="1" applyProtection="1">
      <protection hidden="1"/>
    </xf>
    <xf numFmtId="2" fontId="0" fillId="0" borderId="0" xfId="0" applyNumberFormat="1" applyBorder="1" applyProtection="1">
      <protection hidden="1"/>
    </xf>
    <xf numFmtId="13" fontId="0" fillId="0" borderId="0" xfId="0" applyNumberFormat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6" fillId="0" borderId="0" xfId="0" applyFont="1"/>
    <xf numFmtId="0" fontId="7" fillId="3" borderId="11" xfId="0" applyFont="1" applyFill="1" applyBorder="1" applyAlignment="1" applyProtection="1">
      <protection locked="0"/>
    </xf>
    <xf numFmtId="13" fontId="6" fillId="0" borderId="38" xfId="0" applyNumberFormat="1" applyFont="1" applyBorder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7" fillId="3" borderId="42" xfId="0" applyFont="1" applyFill="1" applyBorder="1" applyAlignment="1" applyProtection="1">
      <protection locked="0"/>
    </xf>
    <xf numFmtId="0" fontId="3" fillId="0" borderId="10" xfId="0" applyFont="1" applyBorder="1" applyProtection="1"/>
    <xf numFmtId="0" fontId="7" fillId="0" borderId="28" xfId="0" applyFont="1" applyBorder="1" applyAlignment="1" applyProtection="1">
      <alignment horizontal="center"/>
    </xf>
    <xf numFmtId="0" fontId="0" fillId="0" borderId="0" xfId="0" applyFill="1" applyBorder="1"/>
    <xf numFmtId="0" fontId="14" fillId="3" borderId="0" xfId="0" applyFont="1" applyFill="1" applyBorder="1" applyProtection="1"/>
    <xf numFmtId="0" fontId="7" fillId="0" borderId="0" xfId="0" applyFont="1" applyBorder="1" applyAlignment="1" applyProtection="1">
      <alignment horizontal="center"/>
    </xf>
    <xf numFmtId="0" fontId="6" fillId="0" borderId="8" xfId="0" applyFont="1" applyBorder="1" applyProtection="1">
      <protection locked="0"/>
    </xf>
    <xf numFmtId="0" fontId="12" fillId="0" borderId="0" xfId="0" applyFont="1"/>
    <xf numFmtId="1" fontId="7" fillId="0" borderId="32" xfId="0" applyNumberFormat="1" applyFont="1" applyBorder="1" applyProtection="1">
      <protection hidden="1"/>
    </xf>
    <xf numFmtId="0" fontId="1" fillId="0" borderId="23" xfId="0" applyFont="1" applyFill="1" applyBorder="1" applyProtection="1"/>
    <xf numFmtId="0" fontId="1" fillId="0" borderId="53" xfId="0" applyFont="1" applyBorder="1" applyProtection="1"/>
    <xf numFmtId="0" fontId="1" fillId="0" borderId="42" xfId="0" applyFont="1" applyFill="1" applyBorder="1" applyAlignment="1" applyProtection="1"/>
    <xf numFmtId="0" fontId="10" fillId="0" borderId="45" xfId="0" applyFont="1" applyFill="1" applyBorder="1" applyAlignment="1" applyProtection="1">
      <alignment vertical="center"/>
    </xf>
    <xf numFmtId="0" fontId="3" fillId="0" borderId="38" xfId="0" applyFont="1" applyBorder="1" applyProtection="1"/>
    <xf numFmtId="0" fontId="3" fillId="0" borderId="8" xfId="0" applyFont="1" applyBorder="1" applyProtection="1"/>
    <xf numFmtId="0" fontId="6" fillId="0" borderId="24" xfId="0" applyFont="1" applyBorder="1" applyAlignment="1" applyProtection="1">
      <alignment horizontal="center"/>
      <protection locked="0"/>
    </xf>
    <xf numFmtId="0" fontId="3" fillId="0" borderId="21" xfId="0" applyFont="1" applyBorder="1" applyProtection="1"/>
    <xf numFmtId="0" fontId="3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2" fontId="0" fillId="0" borderId="0" xfId="0" applyNumberFormat="1" applyAlignment="1" applyProtection="1">
      <alignment horizontal="right"/>
      <protection hidden="1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1" fontId="6" fillId="0" borderId="21" xfId="0" applyNumberFormat="1" applyFont="1" applyBorder="1" applyProtection="1">
      <protection locked="0"/>
    </xf>
    <xf numFmtId="0" fontId="0" fillId="0" borderId="0" xfId="0" applyAlignment="1">
      <alignment horizontal="center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42" xfId="0" applyFont="1" applyFill="1" applyBorder="1" applyAlignment="1" applyProtection="1">
      <alignment horizontal="left"/>
      <protection locked="0"/>
    </xf>
    <xf numFmtId="0" fontId="1" fillId="0" borderId="54" xfId="0" applyFont="1" applyFill="1" applyBorder="1" applyAlignment="1" applyProtection="1">
      <alignment horizontal="center"/>
    </xf>
    <xf numFmtId="0" fontId="1" fillId="0" borderId="55" xfId="0" applyFont="1" applyFill="1" applyBorder="1" applyAlignment="1" applyProtection="1">
      <alignment horizontal="center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0" fillId="0" borderId="45" xfId="0" applyBorder="1" applyAlignment="1">
      <alignment horizontal="center"/>
    </xf>
    <xf numFmtId="0" fontId="0" fillId="0" borderId="33" xfId="0" applyBorder="1"/>
    <xf numFmtId="0" fontId="7" fillId="0" borderId="30" xfId="0" applyFont="1" applyBorder="1" applyAlignment="1" applyProtection="1">
      <alignment horizontal="left"/>
      <protection locked="0"/>
    </xf>
    <xf numFmtId="0" fontId="1" fillId="0" borderId="64" xfId="0" applyFont="1" applyBorder="1"/>
    <xf numFmtId="0" fontId="1" fillId="0" borderId="2" xfId="0" applyFont="1" applyBorder="1" applyProtection="1"/>
    <xf numFmtId="0" fontId="3" fillId="4" borderId="0" xfId="0" applyFont="1" applyFill="1" applyBorder="1" applyAlignment="1" applyProtection="1">
      <alignment horizontal="center" vertical="center"/>
    </xf>
    <xf numFmtId="0" fontId="11" fillId="0" borderId="10" xfId="0" applyFont="1" applyFill="1" applyBorder="1" applyProtection="1"/>
    <xf numFmtId="0" fontId="12" fillId="0" borderId="10" xfId="0" applyFont="1" applyFill="1" applyBorder="1" applyProtection="1"/>
    <xf numFmtId="0" fontId="5" fillId="0" borderId="0" xfId="0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3" fillId="0" borderId="0" xfId="0" applyFont="1" applyBorder="1" applyProtection="1"/>
    <xf numFmtId="0" fontId="19" fillId="4" borderId="0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center" vertical="center"/>
    </xf>
    <xf numFmtId="0" fontId="1" fillId="0" borderId="63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/>
      <protection locked="0"/>
    </xf>
    <xf numFmtId="0" fontId="0" fillId="0" borderId="42" xfId="0" applyBorder="1"/>
    <xf numFmtId="0" fontId="0" fillId="0" borderId="3" xfId="0" applyBorder="1"/>
    <xf numFmtId="0" fontId="0" fillId="0" borderId="45" xfId="0" applyBorder="1"/>
    <xf numFmtId="0" fontId="21" fillId="5" borderId="58" xfId="0" applyFont="1" applyFill="1" applyBorder="1" applyAlignment="1">
      <alignment horizontal="center"/>
    </xf>
    <xf numFmtId="0" fontId="21" fillId="5" borderId="67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10" fillId="0" borderId="29" xfId="0" applyFont="1" applyBorder="1" applyAlignment="1" applyProtection="1">
      <alignment horizontal="center"/>
    </xf>
    <xf numFmtId="0" fontId="0" fillId="0" borderId="12" xfId="0" applyBorder="1" applyAlignment="1"/>
    <xf numFmtId="0" fontId="7" fillId="0" borderId="44" xfId="0" applyFont="1" applyBorder="1" applyAlignment="1" applyProtection="1">
      <alignment horizontal="left"/>
      <protection locked="0"/>
    </xf>
    <xf numFmtId="0" fontId="7" fillId="0" borderId="60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center"/>
    </xf>
    <xf numFmtId="0" fontId="0" fillId="0" borderId="53" xfId="0" applyBorder="1" applyAlignment="1"/>
    <xf numFmtId="0" fontId="1" fillId="0" borderId="19" xfId="0" applyFont="1" applyBorder="1" applyAlignment="1" applyProtection="1"/>
    <xf numFmtId="0" fontId="10" fillId="0" borderId="46" xfId="0" applyFont="1" applyBorder="1" applyAlignment="1" applyProtection="1">
      <alignment horizontal="center"/>
    </xf>
    <xf numFmtId="0" fontId="0" fillId="0" borderId="61" xfId="0" applyBorder="1" applyAlignment="1"/>
    <xf numFmtId="0" fontId="7" fillId="0" borderId="63" xfId="0" applyFont="1" applyBorder="1" applyAlignment="1" applyProtection="1">
      <alignment horizontal="left"/>
      <protection locked="0"/>
    </xf>
    <xf numFmtId="0" fontId="7" fillId="0" borderId="50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53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63" xfId="0" applyFont="1" applyBorder="1" applyAlignment="1" applyProtection="1">
      <alignment horizontal="left"/>
      <protection locked="0"/>
    </xf>
    <xf numFmtId="0" fontId="3" fillId="0" borderId="62" xfId="0" applyFont="1" applyBorder="1" applyAlignment="1" applyProtection="1">
      <alignment horizontal="left"/>
      <protection locked="0"/>
    </xf>
    <xf numFmtId="0" fontId="3" fillId="0" borderId="61" xfId="0" applyFont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 horizontal="left"/>
      <protection locked="0"/>
    </xf>
    <xf numFmtId="0" fontId="11" fillId="2" borderId="46" xfId="0" applyFont="1" applyFill="1" applyBorder="1" applyAlignment="1" applyProtection="1">
      <alignment horizontal="center" vertical="center"/>
    </xf>
    <xf numFmtId="0" fontId="11" fillId="2" borderId="62" xfId="0" applyFont="1" applyFill="1" applyBorder="1" applyAlignment="1" applyProtection="1">
      <alignment horizontal="center" vertical="center"/>
    </xf>
    <xf numFmtId="0" fontId="11" fillId="2" borderId="50" xfId="0" applyFont="1" applyFill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12" fillId="2" borderId="62" xfId="0" applyFont="1" applyFill="1" applyBorder="1" applyAlignment="1" applyProtection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</xf>
    <xf numFmtId="0" fontId="15" fillId="2" borderId="62" xfId="0" applyFont="1" applyFill="1" applyBorder="1" applyAlignment="1" applyProtection="1">
      <alignment horizontal="center" vertical="center"/>
    </xf>
    <xf numFmtId="0" fontId="15" fillId="2" borderId="50" xfId="0" applyFont="1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13" xfId="0" quotePrefix="1" applyFill="1" applyBorder="1" applyAlignment="1" applyProtection="1">
      <alignment horizontal="center" vertical="center"/>
    </xf>
    <xf numFmtId="0" fontId="0" fillId="3" borderId="51" xfId="0" quotePrefix="1" applyFill="1" applyBorder="1" applyAlignment="1" applyProtection="1">
      <alignment horizontal="center" vertical="center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5" fillId="2" borderId="62" xfId="0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6" fillId="2" borderId="13" xfId="0" applyFont="1" applyFill="1" applyBorder="1" applyAlignment="1" applyProtection="1">
      <alignment horizontal="center"/>
    </xf>
    <xf numFmtId="0" fontId="16" fillId="2" borderId="51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/>
    </xf>
    <xf numFmtId="0" fontId="1" fillId="0" borderId="55" xfId="0" applyFont="1" applyFill="1" applyBorder="1" applyAlignment="1" applyProtection="1">
      <alignment horizontal="center"/>
    </xf>
    <xf numFmtId="0" fontId="3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60" xfId="0" applyFont="1" applyBorder="1" applyAlignment="1" applyProtection="1">
      <alignment horizontal="left"/>
      <protection locked="0"/>
    </xf>
    <xf numFmtId="0" fontId="3" fillId="0" borderId="3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5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0" fontId="5" fillId="2" borderId="14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indent="1"/>
      <protection locked="0"/>
    </xf>
    <xf numFmtId="0" fontId="7" fillId="0" borderId="52" xfId="0" applyFont="1" applyFill="1" applyBorder="1" applyAlignment="1" applyProtection="1">
      <alignment horizontal="left" indent="1"/>
      <protection locked="0"/>
    </xf>
    <xf numFmtId="0" fontId="5" fillId="2" borderId="9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6" fillId="4" borderId="9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  <xf numFmtId="0" fontId="6" fillId="4" borderId="12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</xf>
    <xf numFmtId="0" fontId="3" fillId="2" borderId="4" xfId="0" applyFont="1" applyFill="1" applyBorder="1" applyAlignment="1">
      <alignment horizontal="left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15" fontId="7" fillId="0" borderId="11" xfId="0" applyNumberFormat="1" applyFont="1" applyBorder="1" applyAlignment="1" applyProtection="1">
      <alignment horizontal="center"/>
      <protection locked="0"/>
    </xf>
    <xf numFmtId="15" fontId="7" fillId="0" borderId="10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2" borderId="1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15" fontId="6" fillId="0" borderId="10" xfId="0" applyNumberFormat="1" applyFont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right"/>
      <protection locked="0"/>
    </xf>
    <xf numFmtId="0" fontId="4" fillId="0" borderId="43" xfId="0" applyFont="1" applyFill="1" applyBorder="1" applyAlignment="1" applyProtection="1">
      <alignment horizontal="right"/>
      <protection locked="0"/>
    </xf>
    <xf numFmtId="0" fontId="4" fillId="0" borderId="60" xfId="0" applyFont="1" applyFill="1" applyBorder="1" applyAlignment="1" applyProtection="1">
      <alignment horizontal="right"/>
      <protection locked="0"/>
    </xf>
    <xf numFmtId="0" fontId="19" fillId="4" borderId="64" xfId="0" applyFont="1" applyFill="1" applyBorder="1" applyAlignment="1" applyProtection="1">
      <alignment horizontal="center"/>
    </xf>
    <xf numFmtId="0" fontId="19" fillId="4" borderId="7" xfId="0" applyFont="1" applyFill="1" applyBorder="1" applyAlignment="1" applyProtection="1">
      <alignment horizontal="center"/>
    </xf>
    <xf numFmtId="0" fontId="19" fillId="4" borderId="65" xfId="0" applyFont="1" applyFill="1" applyBorder="1" applyAlignment="1" applyProtection="1">
      <alignment horizontal="center"/>
    </xf>
    <xf numFmtId="0" fontId="19" fillId="4" borderId="33" xfId="0" applyFont="1" applyFill="1" applyBorder="1" applyAlignment="1" applyProtection="1">
      <alignment horizontal="center"/>
    </xf>
    <xf numFmtId="0" fontId="19" fillId="4" borderId="43" xfId="0" applyFont="1" applyFill="1" applyBorder="1" applyAlignment="1" applyProtection="1">
      <alignment horizontal="center"/>
    </xf>
    <xf numFmtId="0" fontId="19" fillId="4" borderId="60" xfId="0" applyFont="1" applyFill="1" applyBorder="1" applyAlignment="1" applyProtection="1">
      <alignment horizontal="center"/>
    </xf>
    <xf numFmtId="0" fontId="2" fillId="0" borderId="64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65" xfId="0" applyFont="1" applyFill="1" applyBorder="1" applyAlignment="1" applyProtection="1">
      <alignment horizontal="left"/>
    </xf>
    <xf numFmtId="0" fontId="7" fillId="0" borderId="66" xfId="0" applyFont="1" applyBorder="1" applyAlignment="1" applyProtection="1">
      <alignment horizontal="center"/>
      <protection hidden="1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indent="1"/>
    </xf>
    <xf numFmtId="0" fontId="13" fillId="0" borderId="52" xfId="0" applyFont="1" applyFill="1" applyBorder="1" applyAlignment="1" applyProtection="1">
      <alignment horizontal="left" indent="1"/>
    </xf>
    <xf numFmtId="0" fontId="5" fillId="2" borderId="29" xfId="0" applyFont="1" applyFill="1" applyBorder="1" applyAlignment="1" applyProtection="1">
      <alignment horizontal="left"/>
    </xf>
    <xf numFmtId="0" fontId="19" fillId="4" borderId="64" xfId="0" applyFont="1" applyFill="1" applyBorder="1" applyAlignment="1" applyProtection="1">
      <alignment horizontal="center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19" fillId="4" borderId="65" xfId="0" applyFont="1" applyFill="1" applyBorder="1" applyAlignment="1" applyProtection="1">
      <alignment horizontal="center"/>
      <protection locked="0"/>
    </xf>
    <xf numFmtId="0" fontId="19" fillId="4" borderId="33" xfId="0" applyFont="1" applyFill="1" applyBorder="1" applyAlignment="1" applyProtection="1">
      <alignment horizontal="center"/>
      <protection locked="0"/>
    </xf>
    <xf numFmtId="0" fontId="19" fillId="4" borderId="43" xfId="0" applyFont="1" applyFill="1" applyBorder="1" applyAlignment="1" applyProtection="1">
      <alignment horizontal="center"/>
      <protection locked="0"/>
    </xf>
    <xf numFmtId="0" fontId="19" fillId="4" borderId="60" xfId="0" applyFont="1" applyFill="1" applyBorder="1" applyAlignment="1" applyProtection="1">
      <alignment horizontal="center"/>
      <protection locked="0"/>
    </xf>
    <xf numFmtId="15" fontId="7" fillId="0" borderId="11" xfId="0" applyNumberFormat="1" applyFont="1" applyBorder="1" applyAlignment="1" applyProtection="1">
      <alignment horizontal="center"/>
    </xf>
    <xf numFmtId="15" fontId="7" fillId="0" borderId="10" xfId="0" applyNumberFormat="1" applyFont="1" applyBorder="1" applyAlignment="1" applyProtection="1">
      <alignment horizontal="center"/>
    </xf>
    <xf numFmtId="0" fontId="17" fillId="0" borderId="64" xfId="0" applyFont="1" applyFill="1" applyBorder="1" applyAlignment="1" applyProtection="1">
      <alignment horizontal="left"/>
    </xf>
    <xf numFmtId="0" fontId="17" fillId="0" borderId="7" xfId="0" applyFont="1" applyFill="1" applyBorder="1" applyAlignment="1" applyProtection="1">
      <alignment horizontal="left"/>
    </xf>
    <xf numFmtId="0" fontId="17" fillId="0" borderId="65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 indent="1"/>
    </xf>
    <xf numFmtId="0" fontId="14" fillId="0" borderId="52" xfId="0" applyFont="1" applyFill="1" applyBorder="1" applyAlignment="1" applyProtection="1">
      <alignment horizontal="left" indent="1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0</xdr:row>
      <xdr:rowOff>76200</xdr:rowOff>
    </xdr:from>
    <xdr:to>
      <xdr:col>11</xdr:col>
      <xdr:colOff>66675</xdr:colOff>
      <xdr:row>4</xdr:row>
      <xdr:rowOff>47625</xdr:rowOff>
    </xdr:to>
    <xdr:pic>
      <xdr:nvPicPr>
        <xdr:cNvPr id="1034" name="Picture 2" descr="nuboldlogohoriznewgraphi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76200"/>
          <a:ext cx="3086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showRuler="0" workbookViewId="0">
      <selection activeCell="D31" sqref="D31"/>
    </sheetView>
  </sheetViews>
  <sheetFormatPr baseColWidth="10" defaultColWidth="8.83203125" defaultRowHeight="13" x14ac:dyDescent="0.15"/>
  <cols>
    <col min="1" max="1" width="12.6640625" customWidth="1"/>
    <col min="2" max="2" width="3.6640625" customWidth="1"/>
    <col min="3" max="3" width="21.6640625" customWidth="1"/>
    <col min="4" max="4" width="3.6640625" customWidth="1"/>
    <col min="5" max="5" width="27.6640625" customWidth="1"/>
    <col min="6" max="6" width="3.6640625" customWidth="1"/>
    <col min="7" max="7" width="10.6640625" customWidth="1"/>
    <col min="8" max="8" width="3.6640625" customWidth="1"/>
    <col min="9" max="9" width="22.6640625" customWidth="1"/>
    <col min="10" max="10" width="3.6640625" customWidth="1"/>
    <col min="11" max="11" width="9.6640625" customWidth="1"/>
    <col min="12" max="12" width="3.6640625" customWidth="1"/>
    <col min="13" max="13" width="12.6640625" customWidth="1"/>
    <col min="14" max="14" width="3.6640625" customWidth="1"/>
    <col min="15" max="15" width="10.6640625" customWidth="1"/>
    <col min="16" max="16" width="3.6640625" customWidth="1"/>
    <col min="17" max="17" width="10.6640625" customWidth="1"/>
    <col min="18" max="18" width="3.6640625" customWidth="1"/>
    <col min="19" max="19" width="14.6640625" customWidth="1"/>
    <col min="20" max="20" width="3.6640625" customWidth="1"/>
    <col min="21" max="21" width="20.6640625" customWidth="1"/>
    <col min="22" max="22" width="3.6640625" customWidth="1"/>
    <col min="23" max="23" width="9.6640625" customWidth="1"/>
    <col min="24" max="24" width="3.6640625" customWidth="1"/>
    <col min="25" max="25" width="39.6640625" customWidth="1"/>
    <col min="26" max="26" width="3.6640625" customWidth="1"/>
    <col min="27" max="27" width="21.6640625" customWidth="1"/>
  </cols>
  <sheetData>
    <row r="1" spans="1:28" x14ac:dyDescent="0.15">
      <c r="A1" t="s">
        <v>349</v>
      </c>
      <c r="C1" t="s">
        <v>392</v>
      </c>
      <c r="E1" t="s">
        <v>393</v>
      </c>
      <c r="G1" t="s">
        <v>350</v>
      </c>
      <c r="K1" t="s">
        <v>397</v>
      </c>
      <c r="M1" t="s">
        <v>398</v>
      </c>
      <c r="O1" t="s">
        <v>399</v>
      </c>
      <c r="Q1" t="s">
        <v>352</v>
      </c>
      <c r="S1" t="s">
        <v>353</v>
      </c>
      <c r="U1" t="s">
        <v>354</v>
      </c>
      <c r="W1" t="s">
        <v>204</v>
      </c>
      <c r="Y1" t="s">
        <v>51</v>
      </c>
      <c r="AA1" t="s">
        <v>64</v>
      </c>
      <c r="AB1" t="s">
        <v>69</v>
      </c>
    </row>
    <row r="2" spans="1:28" x14ac:dyDescent="0.15">
      <c r="D2" s="1"/>
    </row>
    <row r="3" spans="1:28" x14ac:dyDescent="0.15">
      <c r="A3">
        <v>900</v>
      </c>
      <c r="C3" s="1" t="s">
        <v>355</v>
      </c>
      <c r="D3" s="1"/>
      <c r="E3" s="1" t="s">
        <v>355</v>
      </c>
      <c r="G3" t="s">
        <v>394</v>
      </c>
      <c r="K3" t="s">
        <v>357</v>
      </c>
      <c r="M3" t="s">
        <v>358</v>
      </c>
      <c r="O3" t="s">
        <v>359</v>
      </c>
      <c r="Q3" t="s">
        <v>360</v>
      </c>
      <c r="S3" t="s">
        <v>361</v>
      </c>
      <c r="U3" t="s">
        <v>362</v>
      </c>
      <c r="W3" t="s">
        <v>205</v>
      </c>
      <c r="Y3" t="s">
        <v>52</v>
      </c>
      <c r="AA3" s="1" t="s">
        <v>355</v>
      </c>
      <c r="AB3" s="1" t="s">
        <v>359</v>
      </c>
    </row>
    <row r="4" spans="1:28" x14ac:dyDescent="0.15">
      <c r="A4">
        <v>930</v>
      </c>
      <c r="C4" s="1" t="s">
        <v>363</v>
      </c>
      <c r="D4" s="1"/>
      <c r="E4" s="1" t="s">
        <v>363</v>
      </c>
      <c r="G4" t="s">
        <v>46</v>
      </c>
      <c r="K4" t="s">
        <v>364</v>
      </c>
      <c r="M4" t="s">
        <v>365</v>
      </c>
      <c r="O4" t="s">
        <v>2</v>
      </c>
      <c r="Q4" t="s">
        <v>82</v>
      </c>
      <c r="S4" t="s">
        <v>367</v>
      </c>
      <c r="U4" t="s">
        <v>368</v>
      </c>
      <c r="W4" t="s">
        <v>206</v>
      </c>
      <c r="Y4" t="s">
        <v>53</v>
      </c>
      <c r="AA4" s="1" t="s">
        <v>363</v>
      </c>
      <c r="AB4" s="1" t="s">
        <v>3</v>
      </c>
    </row>
    <row r="5" spans="1:28" x14ac:dyDescent="0.15">
      <c r="A5">
        <v>971</v>
      </c>
      <c r="C5" s="1" t="s">
        <v>356</v>
      </c>
      <c r="D5" s="1"/>
      <c r="E5" s="1" t="s">
        <v>96</v>
      </c>
      <c r="G5" t="s">
        <v>395</v>
      </c>
      <c r="K5" t="s">
        <v>369</v>
      </c>
      <c r="M5" t="s">
        <v>370</v>
      </c>
      <c r="O5" t="s">
        <v>366</v>
      </c>
      <c r="Q5" t="s">
        <v>371</v>
      </c>
      <c r="S5" t="s">
        <v>372</v>
      </c>
      <c r="U5" t="s">
        <v>373</v>
      </c>
      <c r="Y5" t="s">
        <v>54</v>
      </c>
      <c r="AA5" s="1" t="s">
        <v>356</v>
      </c>
      <c r="AB5" s="1"/>
    </row>
    <row r="6" spans="1:28" x14ac:dyDescent="0.15">
      <c r="A6">
        <v>1000</v>
      </c>
      <c r="C6" s="1" t="s">
        <v>70</v>
      </c>
      <c r="D6" s="1"/>
      <c r="E6" s="1" t="s">
        <v>23</v>
      </c>
      <c r="G6" t="s">
        <v>47</v>
      </c>
      <c r="Q6" t="s">
        <v>376</v>
      </c>
      <c r="Y6" t="s">
        <v>55</v>
      </c>
      <c r="AA6" s="1" t="s">
        <v>70</v>
      </c>
      <c r="AB6" s="1"/>
    </row>
    <row r="7" spans="1:28" x14ac:dyDescent="0.15">
      <c r="A7">
        <v>1006</v>
      </c>
      <c r="C7" t="s">
        <v>374</v>
      </c>
      <c r="D7" s="1"/>
      <c r="E7" s="1" t="s">
        <v>97</v>
      </c>
      <c r="G7" t="s">
        <v>396</v>
      </c>
      <c r="Q7" t="s">
        <v>378</v>
      </c>
      <c r="Y7" t="s">
        <v>56</v>
      </c>
      <c r="AA7" t="s">
        <v>374</v>
      </c>
      <c r="AB7" s="1"/>
    </row>
    <row r="8" spans="1:28" x14ac:dyDescent="0.15">
      <c r="A8">
        <v>1100</v>
      </c>
      <c r="C8" t="s">
        <v>71</v>
      </c>
      <c r="D8" s="1"/>
      <c r="E8" s="1" t="s">
        <v>98</v>
      </c>
      <c r="G8" t="s">
        <v>48</v>
      </c>
      <c r="Y8" t="s">
        <v>57</v>
      </c>
      <c r="AA8" t="s">
        <v>71</v>
      </c>
      <c r="AB8" s="1"/>
    </row>
    <row r="9" spans="1:28" x14ac:dyDescent="0.15">
      <c r="A9">
        <v>1200</v>
      </c>
      <c r="C9" t="s">
        <v>81</v>
      </c>
      <c r="D9" s="1"/>
      <c r="E9" s="1" t="s">
        <v>99</v>
      </c>
      <c r="G9" t="s">
        <v>49</v>
      </c>
      <c r="Y9" t="s">
        <v>58</v>
      </c>
      <c r="AA9" t="s">
        <v>81</v>
      </c>
      <c r="AB9" s="1"/>
    </row>
    <row r="10" spans="1:28" x14ac:dyDescent="0.15">
      <c r="A10">
        <v>1300</v>
      </c>
      <c r="C10" t="s">
        <v>377</v>
      </c>
      <c r="D10" s="1"/>
      <c r="E10" t="s">
        <v>379</v>
      </c>
      <c r="Y10" t="s">
        <v>4</v>
      </c>
      <c r="AA10" t="s">
        <v>377</v>
      </c>
      <c r="AB10" s="1"/>
    </row>
    <row r="11" spans="1:28" x14ac:dyDescent="0.15">
      <c r="A11">
        <v>1320</v>
      </c>
      <c r="C11" t="s">
        <v>87</v>
      </c>
      <c r="D11" s="1"/>
      <c r="E11" s="1" t="s">
        <v>194</v>
      </c>
      <c r="Y11" t="s">
        <v>59</v>
      </c>
      <c r="AA11" t="s">
        <v>87</v>
      </c>
    </row>
    <row r="12" spans="1:28" x14ac:dyDescent="0.15">
      <c r="A12">
        <v>1350</v>
      </c>
      <c r="C12" t="s">
        <v>379</v>
      </c>
      <c r="D12" s="1"/>
      <c r="E12" s="1" t="s">
        <v>100</v>
      </c>
      <c r="Y12" t="s">
        <v>60</v>
      </c>
      <c r="AA12" t="s">
        <v>379</v>
      </c>
    </row>
    <row r="13" spans="1:28" x14ac:dyDescent="0.15">
      <c r="A13">
        <v>1360</v>
      </c>
      <c r="C13" s="1" t="s">
        <v>194</v>
      </c>
      <c r="D13" s="1"/>
      <c r="E13" s="1" t="s">
        <v>101</v>
      </c>
      <c r="Y13" t="s">
        <v>61</v>
      </c>
      <c r="AA13" s="1" t="s">
        <v>194</v>
      </c>
    </row>
    <row r="14" spans="1:28" x14ac:dyDescent="0.15">
      <c r="A14">
        <v>2000</v>
      </c>
      <c r="C14" s="1" t="s">
        <v>195</v>
      </c>
      <c r="D14" s="1"/>
      <c r="E14" s="1" t="s">
        <v>380</v>
      </c>
      <c r="Y14" t="s">
        <v>83</v>
      </c>
      <c r="AA14" s="1" t="s">
        <v>195</v>
      </c>
    </row>
    <row r="15" spans="1:28" x14ac:dyDescent="0.15">
      <c r="A15">
        <v>2001</v>
      </c>
      <c r="C15" s="1" t="s">
        <v>66</v>
      </c>
      <c r="D15" s="1"/>
      <c r="E15" s="1" t="s">
        <v>24</v>
      </c>
      <c r="Y15" t="s">
        <v>62</v>
      </c>
      <c r="AA15" s="1" t="s">
        <v>66</v>
      </c>
    </row>
    <row r="16" spans="1:28" x14ac:dyDescent="0.15">
      <c r="A16">
        <v>3000</v>
      </c>
      <c r="C16" s="1" t="s">
        <v>380</v>
      </c>
      <c r="E16" s="1" t="s">
        <v>103</v>
      </c>
      <c r="Y16" t="s">
        <v>63</v>
      </c>
      <c r="AA16" s="1" t="s">
        <v>380</v>
      </c>
    </row>
    <row r="17" spans="1:27" x14ac:dyDescent="0.15">
      <c r="A17">
        <v>4000</v>
      </c>
      <c r="C17" s="1" t="s">
        <v>102</v>
      </c>
      <c r="E17" s="1" t="s">
        <v>25</v>
      </c>
      <c r="AA17" s="1" t="s">
        <v>102</v>
      </c>
    </row>
    <row r="18" spans="1:27" x14ac:dyDescent="0.15">
      <c r="A18">
        <v>4100</v>
      </c>
      <c r="C18" s="1" t="s">
        <v>93</v>
      </c>
      <c r="E18" t="s">
        <v>72</v>
      </c>
      <c r="AA18" s="1" t="s">
        <v>93</v>
      </c>
    </row>
    <row r="19" spans="1:27" x14ac:dyDescent="0.15">
      <c r="A19">
        <v>5000</v>
      </c>
      <c r="C19" s="1" t="s">
        <v>85</v>
      </c>
      <c r="E19" s="1" t="s">
        <v>104</v>
      </c>
      <c r="AA19" s="1" t="s">
        <v>85</v>
      </c>
    </row>
    <row r="20" spans="1:27" x14ac:dyDescent="0.15">
      <c r="A20">
        <v>6000</v>
      </c>
      <c r="C20" t="s">
        <v>196</v>
      </c>
      <c r="E20" t="s">
        <v>375</v>
      </c>
      <c r="AA20" t="s">
        <v>196</v>
      </c>
    </row>
    <row r="21" spans="1:27" x14ac:dyDescent="0.15">
      <c r="A21">
        <v>6500</v>
      </c>
      <c r="C21" t="s">
        <v>76</v>
      </c>
      <c r="E21" t="s">
        <v>105</v>
      </c>
      <c r="AA21" t="s">
        <v>76</v>
      </c>
    </row>
    <row r="22" spans="1:27" x14ac:dyDescent="0.15">
      <c r="A22">
        <v>7000</v>
      </c>
      <c r="C22" t="s">
        <v>382</v>
      </c>
      <c r="E22" t="s">
        <v>170</v>
      </c>
      <c r="AA22" t="s">
        <v>382</v>
      </c>
    </row>
    <row r="23" spans="1:27" x14ac:dyDescent="0.15">
      <c r="A23">
        <v>7101</v>
      </c>
      <c r="C23" t="s">
        <v>72</v>
      </c>
      <c r="E23" t="s">
        <v>106</v>
      </c>
      <c r="AA23" t="s">
        <v>72</v>
      </c>
    </row>
    <row r="24" spans="1:27" x14ac:dyDescent="0.15">
      <c r="A24">
        <v>7500</v>
      </c>
      <c r="C24" t="s">
        <v>383</v>
      </c>
      <c r="E24" t="s">
        <v>107</v>
      </c>
      <c r="AA24" s="1" t="s">
        <v>67</v>
      </c>
    </row>
    <row r="25" spans="1:27" x14ac:dyDescent="0.15">
      <c r="A25">
        <v>8000</v>
      </c>
      <c r="C25" s="1" t="s">
        <v>67</v>
      </c>
      <c r="E25" t="s">
        <v>26</v>
      </c>
      <c r="AA25" t="s">
        <v>375</v>
      </c>
    </row>
    <row r="26" spans="1:27" x14ac:dyDescent="0.15">
      <c r="A26">
        <v>9000</v>
      </c>
      <c r="C26" t="s">
        <v>375</v>
      </c>
      <c r="E26" t="s">
        <v>109</v>
      </c>
      <c r="AA26" t="s">
        <v>88</v>
      </c>
    </row>
    <row r="27" spans="1:27" x14ac:dyDescent="0.15">
      <c r="A27">
        <v>9100</v>
      </c>
      <c r="C27" t="s">
        <v>88</v>
      </c>
      <c r="E27" t="s">
        <v>110</v>
      </c>
      <c r="AA27" s="1" t="s">
        <v>170</v>
      </c>
    </row>
    <row r="28" spans="1:27" x14ac:dyDescent="0.15">
      <c r="A28">
        <v>9710</v>
      </c>
      <c r="C28" s="1" t="s">
        <v>170</v>
      </c>
      <c r="E28" t="s">
        <v>111</v>
      </c>
      <c r="AA28" s="1" t="s">
        <v>89</v>
      </c>
    </row>
    <row r="29" spans="1:27" x14ac:dyDescent="0.15">
      <c r="A29" t="s">
        <v>387</v>
      </c>
      <c r="C29" s="1" t="s">
        <v>89</v>
      </c>
      <c r="E29" t="s">
        <v>112</v>
      </c>
      <c r="AA29" s="1" t="s">
        <v>77</v>
      </c>
    </row>
    <row r="30" spans="1:27" x14ac:dyDescent="0.15">
      <c r="A30" t="s">
        <v>388</v>
      </c>
      <c r="C30" t="s">
        <v>381</v>
      </c>
      <c r="E30" t="s">
        <v>113</v>
      </c>
      <c r="AA30" t="s">
        <v>381</v>
      </c>
    </row>
    <row r="31" spans="1:27" x14ac:dyDescent="0.15">
      <c r="A31" t="s">
        <v>197</v>
      </c>
      <c r="C31" t="s">
        <v>492</v>
      </c>
      <c r="E31" t="s">
        <v>74</v>
      </c>
      <c r="AA31" t="s">
        <v>108</v>
      </c>
    </row>
    <row r="32" spans="1:27" x14ac:dyDescent="0.15">
      <c r="A32" t="s">
        <v>198</v>
      </c>
      <c r="C32" t="s">
        <v>90</v>
      </c>
      <c r="E32" t="s">
        <v>114</v>
      </c>
      <c r="AA32" t="s">
        <v>90</v>
      </c>
    </row>
    <row r="33" spans="1:27" x14ac:dyDescent="0.15">
      <c r="A33" t="s">
        <v>389</v>
      </c>
      <c r="C33" t="s">
        <v>91</v>
      </c>
      <c r="E33" t="s">
        <v>384</v>
      </c>
      <c r="AA33" t="s">
        <v>91</v>
      </c>
    </row>
    <row r="34" spans="1:27" x14ac:dyDescent="0.15">
      <c r="A34" t="s">
        <v>390</v>
      </c>
      <c r="C34" t="s">
        <v>86</v>
      </c>
      <c r="E34" t="s">
        <v>115</v>
      </c>
      <c r="AA34" t="s">
        <v>86</v>
      </c>
    </row>
    <row r="35" spans="1:27" x14ac:dyDescent="0.15">
      <c r="A35" t="s">
        <v>95</v>
      </c>
      <c r="C35" t="s">
        <v>50</v>
      </c>
      <c r="E35" t="s">
        <v>116</v>
      </c>
      <c r="AA35" t="s">
        <v>50</v>
      </c>
    </row>
    <row r="36" spans="1:27" x14ac:dyDescent="0.15">
      <c r="A36" t="s">
        <v>391</v>
      </c>
      <c r="C36" t="s">
        <v>73</v>
      </c>
      <c r="E36" t="s">
        <v>0</v>
      </c>
      <c r="AA36" t="s">
        <v>73</v>
      </c>
    </row>
    <row r="37" spans="1:27" x14ac:dyDescent="0.15">
      <c r="C37" t="s">
        <v>74</v>
      </c>
      <c r="E37" t="s">
        <v>1</v>
      </c>
      <c r="AA37" t="s">
        <v>74</v>
      </c>
    </row>
    <row r="38" spans="1:27" x14ac:dyDescent="0.15">
      <c r="C38" t="s">
        <v>92</v>
      </c>
      <c r="E38" t="s">
        <v>385</v>
      </c>
      <c r="AA38" t="s">
        <v>92</v>
      </c>
    </row>
    <row r="39" spans="1:27" x14ac:dyDescent="0.15">
      <c r="C39" t="s">
        <v>384</v>
      </c>
      <c r="AA39" t="s">
        <v>384</v>
      </c>
    </row>
    <row r="40" spans="1:27" x14ac:dyDescent="0.15">
      <c r="C40" t="s">
        <v>75</v>
      </c>
      <c r="AA40" t="s">
        <v>75</v>
      </c>
    </row>
    <row r="41" spans="1:27" x14ac:dyDescent="0.15">
      <c r="C41" s="1" t="s">
        <v>386</v>
      </c>
      <c r="AA41" s="1" t="s">
        <v>386</v>
      </c>
    </row>
    <row r="42" spans="1:27" x14ac:dyDescent="0.15">
      <c r="C42" s="1" t="s">
        <v>84</v>
      </c>
      <c r="AA42" s="1" t="s">
        <v>84</v>
      </c>
    </row>
    <row r="43" spans="1:27" x14ac:dyDescent="0.15">
      <c r="C43" t="s">
        <v>199</v>
      </c>
      <c r="AA43" t="s">
        <v>199</v>
      </c>
    </row>
    <row r="44" spans="1:27" x14ac:dyDescent="0.15">
      <c r="C44" t="s">
        <v>385</v>
      </c>
      <c r="AA44" t="s">
        <v>385</v>
      </c>
    </row>
    <row r="46" spans="1:27" x14ac:dyDescent="0.15">
      <c r="C46" s="1"/>
      <c r="AA46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showRuler="0" zoomScale="75" workbookViewId="0">
      <selection activeCell="G53" sqref="G53"/>
    </sheetView>
  </sheetViews>
  <sheetFormatPr baseColWidth="10" defaultColWidth="8.83203125" defaultRowHeight="13" x14ac:dyDescent="0.15"/>
  <cols>
    <col min="1" max="1" width="21" customWidth="1"/>
    <col min="2" max="3" width="14.6640625" customWidth="1"/>
    <col min="4" max="4" width="14" customWidth="1"/>
    <col min="5" max="5" width="18.5" customWidth="1"/>
    <col min="6" max="6" width="16.33203125" customWidth="1"/>
    <col min="7" max="7" width="11.6640625" customWidth="1"/>
    <col min="8" max="8" width="15.33203125" customWidth="1"/>
    <col min="9" max="9" width="15.1640625" customWidth="1"/>
    <col min="10" max="10" width="11.5" customWidth="1"/>
  </cols>
  <sheetData>
    <row r="1" spans="1:12" s="2" customFormat="1" x14ac:dyDescent="0.15">
      <c r="A1" s="2" t="s">
        <v>400</v>
      </c>
      <c r="B1" s="2" t="s">
        <v>401</v>
      </c>
      <c r="C1" s="2" t="s">
        <v>402</v>
      </c>
      <c r="D1" s="2" t="s">
        <v>403</v>
      </c>
      <c r="E1" s="2" t="s">
        <v>404</v>
      </c>
      <c r="F1" s="2" t="s">
        <v>405</v>
      </c>
      <c r="G1" s="2" t="s">
        <v>406</v>
      </c>
      <c r="H1" s="2" t="s">
        <v>407</v>
      </c>
      <c r="I1" s="2" t="s">
        <v>408</v>
      </c>
      <c r="J1" s="2" t="s">
        <v>409</v>
      </c>
      <c r="K1" s="242" t="s">
        <v>207</v>
      </c>
      <c r="L1" s="242" t="s">
        <v>208</v>
      </c>
    </row>
    <row r="2" spans="1:12" s="2" customFormat="1" x14ac:dyDescent="0.15">
      <c r="A2" s="3">
        <v>900</v>
      </c>
      <c r="C2" s="2" t="s">
        <v>410</v>
      </c>
      <c r="D2" s="2" t="s">
        <v>411</v>
      </c>
      <c r="E2" s="2" t="s">
        <v>410</v>
      </c>
      <c r="G2" s="2" t="s">
        <v>412</v>
      </c>
      <c r="H2" s="2" t="s">
        <v>413</v>
      </c>
      <c r="I2" s="2" t="s">
        <v>414</v>
      </c>
      <c r="J2" s="2" t="s">
        <v>415</v>
      </c>
      <c r="K2" s="242" t="s">
        <v>200</v>
      </c>
      <c r="L2" s="242" t="s">
        <v>200</v>
      </c>
    </row>
    <row r="3" spans="1:12" s="2" customFormat="1" x14ac:dyDescent="0.15">
      <c r="A3" s="3">
        <v>930</v>
      </c>
      <c r="B3" s="2" t="s">
        <v>416</v>
      </c>
      <c r="C3" s="2" t="s">
        <v>410</v>
      </c>
      <c r="D3" s="2" t="s">
        <v>411</v>
      </c>
      <c r="E3" s="2" t="s">
        <v>410</v>
      </c>
      <c r="F3" s="2" t="s">
        <v>417</v>
      </c>
      <c r="G3" s="2" t="s">
        <v>412</v>
      </c>
      <c r="H3" s="2" t="s">
        <v>418</v>
      </c>
      <c r="I3" s="2" t="s">
        <v>209</v>
      </c>
      <c r="J3" s="2" t="s">
        <v>415</v>
      </c>
      <c r="K3" s="2" t="str">
        <f>IF($B$57="930ARCH","Door Style 102",IF($B$57="930CATHEDRAL","Door Style 103",IF($B$57="930SQUARE","Door Style 101","Door Style 117")))</f>
        <v>Door Style 117</v>
      </c>
      <c r="L3" s="2" t="str">
        <f>IF($B$58="930ARCH","Door Style 102",IF($B$58="930CATHEDRAL","Door Style 103",IF($B$58="930SQUARE","Door Style 101","Door Style 117")))</f>
        <v>Door Style 117</v>
      </c>
    </row>
    <row r="4" spans="1:12" s="2" customFormat="1" x14ac:dyDescent="0.15">
      <c r="A4" s="3">
        <v>971</v>
      </c>
      <c r="B4" s="2" t="s">
        <v>419</v>
      </c>
      <c r="C4" s="2" t="s">
        <v>420</v>
      </c>
      <c r="D4" s="2" t="s">
        <v>421</v>
      </c>
      <c r="E4" s="2" t="s">
        <v>422</v>
      </c>
      <c r="F4" s="2" t="s">
        <v>423</v>
      </c>
      <c r="G4" s="2" t="s">
        <v>412</v>
      </c>
      <c r="H4" s="2" t="s">
        <v>424</v>
      </c>
      <c r="I4" s="2" t="s">
        <v>425</v>
      </c>
      <c r="J4" s="2" t="s">
        <v>415</v>
      </c>
      <c r="K4" s="2" t="str">
        <f>IF($B$57="971ARCH","Door Style 102",IF($B$57="971CATHEDRAL","Door Style 103",IF($B$57="971SQUARE","Door Style 101","Door Style 117")))</f>
        <v>Door Style 117</v>
      </c>
      <c r="L4" s="2" t="str">
        <f>IF($B$58="971ARCH","Door Style 102",IF($B$58="971CATHEDRAL","Door Style 103",IF($B$58="971SQUARE","Door Style 101","Door Style 117")))</f>
        <v>Door Style 117</v>
      </c>
    </row>
    <row r="5" spans="1:12" s="2" customFormat="1" x14ac:dyDescent="0.15">
      <c r="A5" s="3">
        <v>980</v>
      </c>
      <c r="B5" s="2" t="s">
        <v>426</v>
      </c>
      <c r="C5" s="2" t="s">
        <v>427</v>
      </c>
      <c r="D5" s="2" t="s">
        <v>428</v>
      </c>
      <c r="E5" s="2" t="s">
        <v>429</v>
      </c>
      <c r="F5" s="2" t="s">
        <v>430</v>
      </c>
      <c r="G5" s="2" t="s">
        <v>412</v>
      </c>
      <c r="K5" s="2" t="str">
        <f>IF($B$57="980ARCH","Door Style 102",IF($B$57="980CATHEDRAL","Door Style 103",IF($B$57="980SQUARE","Door Style 101","Door Style 117")))</f>
        <v>Door Style 117</v>
      </c>
      <c r="L5" s="2" t="str">
        <f>IF($B$58="980ARCH","Door Style 102",IF($B$58="980CATHEDRAL","Door Style 103",IF($B$58="980SQUARE","Door Style 101","Door Style 117")))</f>
        <v>Door Style 117</v>
      </c>
    </row>
    <row r="6" spans="1:12" s="2" customFormat="1" x14ac:dyDescent="0.15">
      <c r="A6" s="3">
        <v>1000</v>
      </c>
      <c r="C6" s="2" t="s">
        <v>431</v>
      </c>
      <c r="D6" s="2" t="s">
        <v>432</v>
      </c>
      <c r="E6" s="2" t="s">
        <v>422</v>
      </c>
      <c r="G6" s="2" t="s">
        <v>412</v>
      </c>
      <c r="H6" s="2" t="s">
        <v>433</v>
      </c>
      <c r="I6" s="2" t="s">
        <v>434</v>
      </c>
      <c r="J6" s="2" t="s">
        <v>415</v>
      </c>
      <c r="K6" s="242" t="s">
        <v>200</v>
      </c>
      <c r="L6" s="242" t="s">
        <v>200</v>
      </c>
    </row>
    <row r="7" spans="1:12" s="2" customFormat="1" x14ac:dyDescent="0.15">
      <c r="A7" s="3">
        <v>1006</v>
      </c>
      <c r="C7" s="2" t="s">
        <v>435</v>
      </c>
      <c r="D7" s="2" t="s">
        <v>436</v>
      </c>
      <c r="E7" s="2" t="s">
        <v>435</v>
      </c>
      <c r="G7" s="2" t="s">
        <v>412</v>
      </c>
      <c r="K7" s="2" t="s">
        <v>200</v>
      </c>
      <c r="L7" s="242" t="s">
        <v>200</v>
      </c>
    </row>
    <row r="8" spans="1:12" s="2" customFormat="1" x14ac:dyDescent="0.15">
      <c r="A8" s="3">
        <v>1100</v>
      </c>
      <c r="C8" s="2" t="s">
        <v>437</v>
      </c>
      <c r="D8" s="2" t="s">
        <v>438</v>
      </c>
      <c r="E8" s="2" t="s">
        <v>437</v>
      </c>
      <c r="G8" s="2" t="s">
        <v>412</v>
      </c>
      <c r="H8" s="2" t="s">
        <v>210</v>
      </c>
      <c r="I8" s="2" t="s">
        <v>211</v>
      </c>
      <c r="J8" s="2" t="s">
        <v>415</v>
      </c>
      <c r="K8" s="242" t="s">
        <v>200</v>
      </c>
      <c r="L8" s="242" t="s">
        <v>200</v>
      </c>
    </row>
    <row r="9" spans="1:12" s="2" customFormat="1" x14ac:dyDescent="0.15">
      <c r="A9" s="3">
        <v>2000</v>
      </c>
      <c r="B9" s="2" t="s">
        <v>439</v>
      </c>
      <c r="C9" s="2" t="s">
        <v>440</v>
      </c>
      <c r="D9" s="2" t="s">
        <v>441</v>
      </c>
      <c r="E9" s="2" t="s">
        <v>442</v>
      </c>
      <c r="F9" s="2" t="s">
        <v>443</v>
      </c>
      <c r="G9" s="2" t="s">
        <v>412</v>
      </c>
      <c r="H9" s="2" t="s">
        <v>433</v>
      </c>
      <c r="I9" s="2" t="s">
        <v>434</v>
      </c>
      <c r="J9" s="2" t="s">
        <v>415</v>
      </c>
      <c r="K9" s="2" t="str">
        <f>IF($B$57="2000ARCH","Door Style 102",IF($B$57="2000CATHEDRAL","Door Style 103",IF($B$57="2000SQUARE","Door Style 101","Door Style 117")))</f>
        <v>Door Style 117</v>
      </c>
      <c r="L9" s="2" t="str">
        <f>IF($B$58="2000ARCH","Door Style 102",IF($B$58="2000CATHEDRAL","Door Style 103",IF($B$58="2000SQUARE","Door Style 101","Door Style 117")))</f>
        <v>Door Style 117</v>
      </c>
    </row>
    <row r="10" spans="1:12" s="2" customFormat="1" x14ac:dyDescent="0.15">
      <c r="A10" s="3">
        <v>2001</v>
      </c>
      <c r="B10" s="2" t="s">
        <v>439</v>
      </c>
      <c r="C10" s="2" t="s">
        <v>431</v>
      </c>
      <c r="D10" s="2" t="s">
        <v>444</v>
      </c>
      <c r="E10" s="2" t="s">
        <v>422</v>
      </c>
      <c r="F10" s="2" t="s">
        <v>445</v>
      </c>
      <c r="G10" s="2" t="s">
        <v>412</v>
      </c>
      <c r="H10" s="2" t="s">
        <v>433</v>
      </c>
      <c r="I10" s="2" t="s">
        <v>434</v>
      </c>
      <c r="J10" s="2" t="s">
        <v>415</v>
      </c>
      <c r="K10" s="2" t="str">
        <f>IF($B$57="2001ARCH","Door Style 102",IF($B$57="2001CATHEDRAL","Door Style 103",IF($B$57="2001SQUARE","Door Style 101","Door Style 117")))</f>
        <v>Door Style 117</v>
      </c>
      <c r="L10" s="2" t="str">
        <f>IF($B$58="2001ARCH","Door Style 102",IF($B$58="2001CATHEDRAL","Door Style 103",IF($B$58="2001SQUARE","Door Style 101","Door Style 117")))</f>
        <v>Door Style 117</v>
      </c>
    </row>
    <row r="11" spans="1:12" s="2" customFormat="1" x14ac:dyDescent="0.15">
      <c r="A11" s="3">
        <v>3000</v>
      </c>
      <c r="B11" s="2" t="s">
        <v>446</v>
      </c>
      <c r="C11" s="2" t="s">
        <v>447</v>
      </c>
      <c r="D11" s="2" t="s">
        <v>448</v>
      </c>
      <c r="E11" s="2" t="s">
        <v>449</v>
      </c>
      <c r="F11" s="2" t="s">
        <v>450</v>
      </c>
      <c r="G11" s="2" t="s">
        <v>412</v>
      </c>
      <c r="H11" s="2" t="s">
        <v>451</v>
      </c>
      <c r="I11" s="2" t="s">
        <v>452</v>
      </c>
      <c r="J11" s="2" t="s">
        <v>415</v>
      </c>
      <c r="K11" s="2" t="str">
        <f>IF($B$57="3000ARCH","Door Style 102",IF($B$57="3000CATHEDRAL","Door Style 103",IF($B$57="3000SQUARE","Door Style 101","Door Style 117")))</f>
        <v>Door Style 117</v>
      </c>
      <c r="L11" s="2" t="str">
        <f>IF($B$58="3000ARCH","Door Style 102",IF($B$58="3000CATHEDRAL","Door Style 103",IF($B$58="3000SQUARE","Door Style 101","Door Style 117")))</f>
        <v>Door Style 117</v>
      </c>
    </row>
    <row r="12" spans="1:12" s="2" customFormat="1" x14ac:dyDescent="0.15">
      <c r="A12" s="3">
        <v>4000</v>
      </c>
      <c r="B12" s="2" t="s">
        <v>453</v>
      </c>
      <c r="C12" s="2" t="s">
        <v>454</v>
      </c>
      <c r="D12" s="2" t="s">
        <v>455</v>
      </c>
      <c r="E12" s="2" t="s">
        <v>456</v>
      </c>
      <c r="F12" s="2" t="s">
        <v>457</v>
      </c>
      <c r="G12" s="2" t="s">
        <v>412</v>
      </c>
      <c r="H12" s="2" t="s">
        <v>433</v>
      </c>
      <c r="I12" s="2" t="s">
        <v>434</v>
      </c>
      <c r="J12" s="2" t="s">
        <v>415</v>
      </c>
      <c r="K12" s="2" t="str">
        <f>IF($B$57="4000ARCH","Door Style 102",IF($B$57="4000CATHEDRAL","Door Style 103",IF($B$57="4000SQUARE","Door Style 101","Door Style 117")))</f>
        <v>Door Style 117</v>
      </c>
      <c r="L12" s="2" t="str">
        <f>IF($B$58="4000ARCH","Door Style 102",IF($B$58="4000CATHEDRAL","Door Style 103",IF($B$58="4000SQUARE","Door Style 101","Door Style 117")))</f>
        <v>Door Style 117</v>
      </c>
    </row>
    <row r="13" spans="1:12" s="2" customFormat="1" x14ac:dyDescent="0.15">
      <c r="A13" s="3">
        <v>4100</v>
      </c>
      <c r="B13" s="242" t="s">
        <v>5</v>
      </c>
      <c r="C13" s="242" t="s">
        <v>6</v>
      </c>
      <c r="D13" s="242" t="s">
        <v>7</v>
      </c>
      <c r="E13" s="242" t="s">
        <v>8</v>
      </c>
      <c r="F13" s="242" t="s">
        <v>9</v>
      </c>
      <c r="G13" s="242" t="s">
        <v>412</v>
      </c>
      <c r="H13" s="242" t="s">
        <v>433</v>
      </c>
      <c r="I13" s="242" t="s">
        <v>434</v>
      </c>
      <c r="J13" s="242" t="s">
        <v>415</v>
      </c>
      <c r="K13" s="2" t="str">
        <f>IF($B$60="4100ARCH","Door Style 102",IF($B$60="4100CATHEDRAL","Door Style 103",IF($B$60="4100SQUARE","Door Style 101","Door Style 117")))</f>
        <v>Door Style 117</v>
      </c>
      <c r="L13" s="2" t="str">
        <f>IF($B$61="4100ARCH","Door Style 102",IF($B$61="4100CATHEDRAL","Door Style 103",IF($B$61="4100SQUARE","Door Style 101","Door Style 117")))</f>
        <v>Door Style 117</v>
      </c>
    </row>
    <row r="14" spans="1:12" s="2" customFormat="1" x14ac:dyDescent="0.15">
      <c r="A14" s="3">
        <v>5000</v>
      </c>
      <c r="B14" s="2" t="s">
        <v>458</v>
      </c>
      <c r="C14" s="2" t="s">
        <v>459</v>
      </c>
      <c r="D14" s="2" t="s">
        <v>460</v>
      </c>
      <c r="E14" s="2" t="s">
        <v>461</v>
      </c>
      <c r="F14" s="2" t="s">
        <v>462</v>
      </c>
      <c r="G14" s="2" t="s">
        <v>412</v>
      </c>
      <c r="H14" s="2" t="s">
        <v>433</v>
      </c>
      <c r="I14" s="2" t="s">
        <v>434</v>
      </c>
      <c r="J14" s="2" t="s">
        <v>415</v>
      </c>
      <c r="K14" s="2" t="str">
        <f>IF($B$57="5000ARCH","Door Style 102",IF($B$57="5000CATHEDRAL","Door Style 103",IF($B$57="5000SQUARE","Door Style 101","Door Style 117")))</f>
        <v>Door Style 117</v>
      </c>
      <c r="L14" s="2" t="str">
        <f>IF($B$58="5000ARCH","Door Style 102",IF($B$58="5000CATHEDRAL","Door Style 103",IF($B$58="5000SQUARE","Door Style 101","Door Style 117")))</f>
        <v>Door Style 117</v>
      </c>
    </row>
    <row r="15" spans="1:12" s="2" customFormat="1" x14ac:dyDescent="0.15">
      <c r="A15" s="3">
        <v>5001</v>
      </c>
      <c r="B15" s="2" t="s">
        <v>458</v>
      </c>
      <c r="C15" s="2" t="s">
        <v>420</v>
      </c>
      <c r="D15" s="2" t="s">
        <v>460</v>
      </c>
      <c r="E15" s="2" t="s">
        <v>422</v>
      </c>
      <c r="F15" s="2" t="s">
        <v>462</v>
      </c>
      <c r="G15" s="2" t="s">
        <v>412</v>
      </c>
      <c r="K15" s="2" t="str">
        <f>IF($B$57="5001ARCH","Door Style 102",IF($B$57="5001CATHEDRAL","Door Style 103",IF($B$57="5001SQUARE","Door Style 101","Door Style 117")))</f>
        <v>Door Style 117</v>
      </c>
      <c r="L15" s="2" t="str">
        <f>IF($B$58="5001ARCH","Door Style 102",IF($B$58="5001CATHEDRAL","Door Style 103",IF($B$58="5001SQUARE","Door Style 101","Door Style 117")))</f>
        <v>Door Style 117</v>
      </c>
    </row>
    <row r="16" spans="1:12" s="2" customFormat="1" x14ac:dyDescent="0.15">
      <c r="A16" s="3">
        <v>6000</v>
      </c>
      <c r="B16" s="2" t="s">
        <v>463</v>
      </c>
      <c r="C16" s="2" t="s">
        <v>464</v>
      </c>
      <c r="D16" s="2" t="s">
        <v>436</v>
      </c>
      <c r="E16" s="2" t="s">
        <v>435</v>
      </c>
      <c r="F16" s="2" t="s">
        <v>465</v>
      </c>
      <c r="G16" s="2" t="s">
        <v>412</v>
      </c>
      <c r="H16" s="2" t="s">
        <v>433</v>
      </c>
      <c r="I16" s="2" t="s">
        <v>434</v>
      </c>
      <c r="J16" s="2" t="s">
        <v>415</v>
      </c>
      <c r="K16" s="2" t="str">
        <f>IF($B$57="6000ARCH","Door Style 102",IF($B$57="6000CATHEDRAL","Door Style 103",IF($B$57="6000SQUARE","Door Style 101","Door Style 117")))</f>
        <v>Door Style 117</v>
      </c>
      <c r="L16" s="2" t="str">
        <f>IF($B$58="6000ARCH","Door Style 102",IF($B$58="6000CATHEDRAL","Door Style 103",IF($B$58="6000SQUARE","Door Style 101","Door Style 117")))</f>
        <v>Door Style 117</v>
      </c>
    </row>
    <row r="17" spans="1:12" s="2" customFormat="1" x14ac:dyDescent="0.15">
      <c r="A17" s="3">
        <v>6500</v>
      </c>
      <c r="B17" s="2" t="s">
        <v>466</v>
      </c>
      <c r="C17" s="2" t="s">
        <v>467</v>
      </c>
      <c r="D17" s="2" t="s">
        <v>468</v>
      </c>
      <c r="E17" s="2" t="s">
        <v>469</v>
      </c>
      <c r="F17" s="2" t="s">
        <v>470</v>
      </c>
      <c r="G17" s="2" t="s">
        <v>412</v>
      </c>
      <c r="H17" s="2" t="s">
        <v>433</v>
      </c>
      <c r="I17" s="2" t="s">
        <v>434</v>
      </c>
      <c r="J17" s="2" t="s">
        <v>415</v>
      </c>
      <c r="K17" s="2" t="str">
        <f>IF($B$57="6500ARCH","Door Style 102",IF($B$57="6500CATHEDRAL","Door Style 103",IF($B$57="6500SQUARE","Door Style 101","Door Style 117")))</f>
        <v>Door Style 117</v>
      </c>
      <c r="L17" s="2" t="str">
        <f>IF($B$58="6500ARCH","Door Style 102",IF($B$58="6500CATHEDRAL","Door Style 103",IF($B$58="6500SQUARE","Door Style 101","Door Style 117")))</f>
        <v>Door Style 117</v>
      </c>
    </row>
    <row r="18" spans="1:12" s="2" customFormat="1" x14ac:dyDescent="0.15">
      <c r="A18" s="3">
        <v>7000</v>
      </c>
      <c r="B18" s="2" t="s">
        <v>471</v>
      </c>
      <c r="C18" s="2" t="s">
        <v>472</v>
      </c>
      <c r="D18" s="2" t="s">
        <v>473</v>
      </c>
      <c r="E18" s="2" t="s">
        <v>474</v>
      </c>
      <c r="F18" s="2" t="s">
        <v>475</v>
      </c>
      <c r="G18" s="2" t="s">
        <v>412</v>
      </c>
      <c r="H18" s="2" t="s">
        <v>476</v>
      </c>
      <c r="I18" s="2" t="s">
        <v>477</v>
      </c>
      <c r="J18" s="2" t="s">
        <v>415</v>
      </c>
      <c r="K18" s="2" t="str">
        <f>IF($B$57="7000ARCH","Door Style 214",IF($B$57="7000CATHEDRAL","Door Style 3b",IF($B$57="7000SQUARE","Door Style 101","Door Style 117")))</f>
        <v>Door Style 117</v>
      </c>
      <c r="L18" s="2" t="str">
        <f>IF($B$58="7000ARCH","Door Style 214",IF($B$58="7000CATHEDRAL","Door Style 3b",IF($B$58="7000SQUARE","Door Style 101","Door Style 117")))</f>
        <v>Door Style 117</v>
      </c>
    </row>
    <row r="19" spans="1:12" s="2" customFormat="1" x14ac:dyDescent="0.15">
      <c r="A19" s="3">
        <v>7001</v>
      </c>
      <c r="B19" s="2" t="s">
        <v>471</v>
      </c>
      <c r="C19" s="2" t="s">
        <v>420</v>
      </c>
      <c r="D19" s="2" t="s">
        <v>473</v>
      </c>
      <c r="E19" s="2" t="s">
        <v>422</v>
      </c>
      <c r="F19" s="2" t="s">
        <v>475</v>
      </c>
      <c r="G19" s="2" t="s">
        <v>412</v>
      </c>
      <c r="K19" s="2" t="str">
        <f>IF($B$57="7001ARCH","Door Style 102",IF($B$57="7001CATHEDRAL","Door Style 103",IF($B$57="7001SQUARE","Door Style 101","Door Style 117")))</f>
        <v>Door Style 117</v>
      </c>
      <c r="L19" s="2" t="str">
        <f>IF($B$58="7001ARCH","Door Style 102",IF($B$58="7001CATHEDRAL","Door Style 103",IF($B$58="7001SQUARE","Door Style 101","Door Style 117")))</f>
        <v>Door Style 117</v>
      </c>
    </row>
    <row r="20" spans="1:12" s="2" customFormat="1" x14ac:dyDescent="0.15">
      <c r="A20" s="3">
        <v>7101</v>
      </c>
      <c r="B20" s="2" t="s">
        <v>478</v>
      </c>
      <c r="C20" s="2" t="s">
        <v>420</v>
      </c>
      <c r="D20" s="2" t="s">
        <v>479</v>
      </c>
      <c r="E20" s="2" t="s">
        <v>422</v>
      </c>
      <c r="F20" s="2" t="s">
        <v>480</v>
      </c>
      <c r="G20" s="2" t="s">
        <v>412</v>
      </c>
      <c r="H20" s="2" t="s">
        <v>481</v>
      </c>
      <c r="I20" s="2" t="s">
        <v>482</v>
      </c>
      <c r="J20" s="2" t="s">
        <v>415</v>
      </c>
      <c r="K20" s="2" t="str">
        <f>IF($B$57="7101ARCH","Door Style 102",IF($B$57="7101CATHEDRAL","Door Style 103",IF($B$57="7101SQUARE","Door Style 101","Door Style 117")))</f>
        <v>Door Style 117</v>
      </c>
      <c r="L20" s="2" t="str">
        <f>IF($B$58="7101ARCH","Door Style 102",IF($B$58="7101CATHEDRAL","Door Style 103",IF($B$58="7101SQUARE","Door Style 101","Door Style 117")))</f>
        <v>Door Style 117</v>
      </c>
    </row>
    <row r="21" spans="1:12" s="2" customFormat="1" x14ac:dyDescent="0.15">
      <c r="A21" s="3">
        <v>7500</v>
      </c>
      <c r="B21" s="2" t="s">
        <v>483</v>
      </c>
      <c r="C21" s="2" t="s">
        <v>484</v>
      </c>
      <c r="D21" s="2" t="s">
        <v>485</v>
      </c>
      <c r="E21" s="2" t="s">
        <v>486</v>
      </c>
      <c r="F21" s="2" t="s">
        <v>487</v>
      </c>
      <c r="G21" s="2" t="s">
        <v>412</v>
      </c>
      <c r="H21" s="2" t="s">
        <v>488</v>
      </c>
      <c r="I21" s="2" t="s">
        <v>489</v>
      </c>
      <c r="J21" s="2" t="s">
        <v>415</v>
      </c>
      <c r="K21" s="2" t="str">
        <f>IF($B$57="7500ARCH","Door Style 102",IF($B$57="7500CATHEDRAL","Door Style 103",IF($B$57="7500SQUARE","Door Style 101","Door Style 117")))</f>
        <v>Door Style 117</v>
      </c>
      <c r="L21" s="2" t="str">
        <f>IF($B$58="7500ARCH","Door Style 102",IF($B$58="7500CATHEDRAL","Door Style 103",IF($B$58="7500SQUARE","Door Style 101","Door Style 117")))</f>
        <v>Door Style 117</v>
      </c>
    </row>
    <row r="22" spans="1:12" s="2" customFormat="1" x14ac:dyDescent="0.15">
      <c r="A22" s="3">
        <v>8000</v>
      </c>
      <c r="B22" s="2" t="s">
        <v>490</v>
      </c>
      <c r="C22" s="2" t="s">
        <v>229</v>
      </c>
      <c r="D22" s="2" t="s">
        <v>230</v>
      </c>
      <c r="E22" s="2" t="s">
        <v>231</v>
      </c>
      <c r="F22" s="2" t="s">
        <v>232</v>
      </c>
      <c r="G22" s="2" t="s">
        <v>412</v>
      </c>
      <c r="H22" s="2" t="s">
        <v>433</v>
      </c>
      <c r="I22" s="2" t="s">
        <v>434</v>
      </c>
      <c r="J22" s="2" t="s">
        <v>415</v>
      </c>
      <c r="K22" s="2" t="str">
        <f>IF($B$57="8000ARCH","Door Style 102",IF($B$57="8000CATHEDRAL","Door Style 103",IF($B$57="8000SQUARE","Door Style 101","Door Style 117")))</f>
        <v>Door Style 117</v>
      </c>
      <c r="L22" s="2" t="str">
        <f>IF($B$58="8000ARCH","Door Style 102",IF($B$58="8000CATHEDRAL","Door Style 103",IF($B$58="8000SQUARE","Door Style 101","Door Style 117")))</f>
        <v>Door Style 117</v>
      </c>
    </row>
    <row r="23" spans="1:12" s="2" customFormat="1" x14ac:dyDescent="0.15">
      <c r="A23" s="3">
        <v>9000</v>
      </c>
      <c r="B23" s="2" t="s">
        <v>233</v>
      </c>
      <c r="C23" s="2" t="s">
        <v>234</v>
      </c>
      <c r="D23" s="2" t="s">
        <v>235</v>
      </c>
      <c r="E23" s="2" t="s">
        <v>236</v>
      </c>
      <c r="F23" s="2" t="s">
        <v>237</v>
      </c>
      <c r="G23" s="2" t="s">
        <v>238</v>
      </c>
      <c r="H23" s="2" t="s">
        <v>239</v>
      </c>
      <c r="I23" s="2" t="s">
        <v>212</v>
      </c>
      <c r="J23" s="2" t="s">
        <v>415</v>
      </c>
      <c r="K23" s="2" t="str">
        <f>IF($B$57="9000ARCH","Door Style 102",IF($B$57="9000CATHEDRAL","Door Style 103",IF($B$57="9000SQUARE","Door Style 101","Door Style 117")))</f>
        <v>Door Style 117</v>
      </c>
      <c r="L23" s="2" t="str">
        <f>IF($B$58="9000ARCH","Door Style 102",IF($B$58="9000CATHEDRAL","Door Style 103",IF($B$58="9000SQUARE","Door Style 101","Door Style 117")))</f>
        <v>Door Style 117</v>
      </c>
    </row>
    <row r="24" spans="1:12" s="2" customFormat="1" x14ac:dyDescent="0.15">
      <c r="A24" s="3">
        <v>9001</v>
      </c>
      <c r="B24" s="2" t="s">
        <v>233</v>
      </c>
      <c r="C24" s="2" t="s">
        <v>420</v>
      </c>
      <c r="D24" s="2" t="s">
        <v>235</v>
      </c>
      <c r="E24" s="2" t="s">
        <v>422</v>
      </c>
      <c r="F24" s="2" t="s">
        <v>237</v>
      </c>
      <c r="G24" s="2" t="s">
        <v>238</v>
      </c>
      <c r="K24" s="2" t="str">
        <f>IF($B$57="9001ARCH","Door Style 102",IF($B$57="9001CATHEDRAL","Door Style 103",IF($B$57="9001SQUARE","Door Style 101","Door Style 117")))</f>
        <v>Door Style 117</v>
      </c>
      <c r="L24" s="2" t="str">
        <f>IF($B$58="9001ARCH","Door Style 102",IF($B$58="9001CATHEDRAL","Door Style 103",IF($B$58="9001SQUARE","Door Style 101","Door Style 117")))</f>
        <v>Door Style 117</v>
      </c>
    </row>
    <row r="25" spans="1:12" s="2" customFormat="1" x14ac:dyDescent="0.15">
      <c r="A25" s="3">
        <v>9002</v>
      </c>
      <c r="B25" s="2" t="s">
        <v>233</v>
      </c>
      <c r="C25" s="2" t="s">
        <v>440</v>
      </c>
      <c r="D25" s="2" t="s">
        <v>235</v>
      </c>
      <c r="E25" s="2" t="s">
        <v>442</v>
      </c>
      <c r="F25" s="2" t="s">
        <v>237</v>
      </c>
      <c r="G25" s="2" t="s">
        <v>238</v>
      </c>
      <c r="K25" s="2" t="str">
        <f>IF($B$57="9002ARCH","Door Style 102",IF($B$57="9002CATHEDRAL","Door Style 103",IF($B$57="9002SQUARE","Door Style 101","Door Style 117")))</f>
        <v>Door Style 117</v>
      </c>
      <c r="L25" s="2" t="str">
        <f>IF($B$58="9002ARCH","Door Style 102",IF($B$58="9002CATHEDRAL","Door Style 103",IF($B$58="9002SQUARE","Door Style 101","Door Style 117")))</f>
        <v>Door Style 117</v>
      </c>
    </row>
    <row r="26" spans="1:12" s="2" customFormat="1" x14ac:dyDescent="0.15">
      <c r="A26" s="3">
        <v>9100</v>
      </c>
      <c r="B26" s="2" t="s">
        <v>213</v>
      </c>
      <c r="C26" s="2" t="s">
        <v>431</v>
      </c>
      <c r="D26" s="2" t="s">
        <v>214</v>
      </c>
      <c r="E26" s="2" t="s">
        <v>215</v>
      </c>
      <c r="F26" s="2" t="s">
        <v>216</v>
      </c>
      <c r="G26" s="2" t="s">
        <v>238</v>
      </c>
      <c r="H26" s="242" t="s">
        <v>239</v>
      </c>
      <c r="I26" s="242" t="s">
        <v>18</v>
      </c>
      <c r="J26" s="242" t="s">
        <v>415</v>
      </c>
      <c r="K26" s="2" t="str">
        <f>IF($B$58="9100ARCH","Door Style 102",IF($B$58="9100CATHEDRAL","Door Style 103",IF($B$58="9100SQUARE","Door Style 101","Door Style 117")))</f>
        <v>Door Style 117</v>
      </c>
      <c r="L26" s="2" t="str">
        <f>IF($B$59="9100ARCH","Door Style 102",IF($B$59="9100CATHEDRAL","Door Style 103",IF($B$59="9100SQUARE","Door Style 101","Door Style 117")))</f>
        <v>Door Style 117</v>
      </c>
    </row>
    <row r="27" spans="1:12" s="2" customFormat="1" x14ac:dyDescent="0.15">
      <c r="A27" s="3">
        <v>9710</v>
      </c>
      <c r="B27" s="2" t="s">
        <v>240</v>
      </c>
      <c r="C27" s="2" t="s">
        <v>241</v>
      </c>
      <c r="D27" s="2" t="s">
        <v>242</v>
      </c>
      <c r="E27" s="2" t="s">
        <v>241</v>
      </c>
      <c r="F27" s="2" t="s">
        <v>243</v>
      </c>
      <c r="G27" s="2" t="s">
        <v>412</v>
      </c>
      <c r="H27" s="2" t="s">
        <v>244</v>
      </c>
      <c r="I27" s="2" t="s">
        <v>425</v>
      </c>
      <c r="J27" s="2" t="s">
        <v>415</v>
      </c>
      <c r="K27" s="2" t="str">
        <f>IF($B$57="9710ARCH","Door Style 102",IF($B$57="9710CATHEDRAL","Door Style 103",IF($B$57="9710SQUARE","Door Style 101","Door Style 117")))</f>
        <v>Door Style 117</v>
      </c>
      <c r="L27" s="2" t="str">
        <f>IF($B$58="9710ARCH","Door Style 102",IF($B$58="9710CATHEDRAL","Door Style 103",IF($B$58="9710SQUARE","Door Style 101","Door Style 117")))</f>
        <v>Door Style 117</v>
      </c>
    </row>
    <row r="28" spans="1:12" s="2" customFormat="1" x14ac:dyDescent="0.15">
      <c r="A28" s="3" t="s">
        <v>387</v>
      </c>
      <c r="C28" s="2" t="s">
        <v>247</v>
      </c>
      <c r="D28" s="2" t="s">
        <v>217</v>
      </c>
      <c r="E28" s="2" t="s">
        <v>247</v>
      </c>
      <c r="F28" s="2" t="s">
        <v>218</v>
      </c>
      <c r="G28" s="2" t="s">
        <v>412</v>
      </c>
      <c r="K28" s="2" t="s">
        <v>219</v>
      </c>
      <c r="L28" s="2" t="s">
        <v>219</v>
      </c>
    </row>
    <row r="29" spans="1:12" s="2" customFormat="1" x14ac:dyDescent="0.15">
      <c r="A29" s="3" t="s">
        <v>388</v>
      </c>
      <c r="B29" s="2" t="s">
        <v>388</v>
      </c>
      <c r="C29" s="2" t="s">
        <v>245</v>
      </c>
      <c r="D29" s="2" t="s">
        <v>246</v>
      </c>
      <c r="E29" s="2" t="s">
        <v>245</v>
      </c>
      <c r="F29" s="2" t="s">
        <v>246</v>
      </c>
      <c r="G29" s="2" t="s">
        <v>412</v>
      </c>
      <c r="K29" s="2" t="s">
        <v>219</v>
      </c>
      <c r="L29" s="2" t="s">
        <v>219</v>
      </c>
    </row>
    <row r="30" spans="1:12" s="2" customFormat="1" x14ac:dyDescent="0.15">
      <c r="A30" s="3" t="s">
        <v>197</v>
      </c>
      <c r="C30" s="242" t="s">
        <v>19</v>
      </c>
      <c r="D30" s="2" t="s">
        <v>217</v>
      </c>
      <c r="E30" s="242" t="s">
        <v>19</v>
      </c>
      <c r="F30" s="2" t="s">
        <v>217</v>
      </c>
      <c r="G30" s="242" t="s">
        <v>412</v>
      </c>
      <c r="K30" s="2" t="str">
        <f>IF($B$57="9710ARCH","Door Style 102",IF($B$57="9710CATHEDRAL","Door Style 103",IF($B$57="9710SQUARE","Door Style 101","Door Style 117")))</f>
        <v>Door Style 117</v>
      </c>
      <c r="L30" s="2" t="str">
        <f>IF($B$57="9710ARCH","Door Style 102",IF($B$57="9710CATHEDRAL","Door Style 103",IF($B$57="9710SQUARE","Door Style 101","Door Style 117")))</f>
        <v>Door Style 117</v>
      </c>
    </row>
    <row r="31" spans="1:12" s="2" customFormat="1" x14ac:dyDescent="0.15">
      <c r="A31" s="3" t="s">
        <v>389</v>
      </c>
      <c r="B31" s="2" t="s">
        <v>21</v>
      </c>
      <c r="C31" s="2" t="s">
        <v>247</v>
      </c>
      <c r="D31" s="2" t="s">
        <v>248</v>
      </c>
      <c r="E31" s="2" t="s">
        <v>247</v>
      </c>
      <c r="F31" s="2" t="s">
        <v>249</v>
      </c>
      <c r="G31" s="2" t="s">
        <v>412</v>
      </c>
      <c r="H31" s="2" t="s">
        <v>250</v>
      </c>
      <c r="I31" s="2" t="s">
        <v>251</v>
      </c>
      <c r="J31" s="2" t="s">
        <v>415</v>
      </c>
      <c r="K31" s="2" t="s">
        <v>220</v>
      </c>
      <c r="L31" s="2" t="s">
        <v>220</v>
      </c>
    </row>
    <row r="32" spans="1:12" s="2" customFormat="1" x14ac:dyDescent="0.15">
      <c r="A32" s="3" t="s">
        <v>221</v>
      </c>
      <c r="B32" s="2" t="s">
        <v>222</v>
      </c>
      <c r="C32" s="2" t="s">
        <v>247</v>
      </c>
      <c r="D32" s="2" t="s">
        <v>223</v>
      </c>
      <c r="E32" s="2" t="s">
        <v>247</v>
      </c>
      <c r="F32" s="2" t="s">
        <v>224</v>
      </c>
      <c r="G32" s="2" t="s">
        <v>412</v>
      </c>
      <c r="K32" s="2" t="s">
        <v>220</v>
      </c>
      <c r="L32" s="2" t="s">
        <v>220</v>
      </c>
    </row>
    <row r="33" spans="1:12" s="2" customFormat="1" x14ac:dyDescent="0.15">
      <c r="A33" s="3" t="s">
        <v>225</v>
      </c>
      <c r="B33" s="2" t="s">
        <v>226</v>
      </c>
      <c r="C33" s="2" t="s">
        <v>247</v>
      </c>
      <c r="D33" s="2" t="s">
        <v>223</v>
      </c>
      <c r="E33" s="2" t="s">
        <v>247</v>
      </c>
      <c r="F33" s="2" t="s">
        <v>224</v>
      </c>
      <c r="G33" s="2" t="s">
        <v>412</v>
      </c>
      <c r="K33" s="2" t="s">
        <v>220</v>
      </c>
      <c r="L33" s="2" t="s">
        <v>220</v>
      </c>
    </row>
    <row r="34" spans="1:12" s="2" customFormat="1" x14ac:dyDescent="0.15">
      <c r="A34" s="3" t="s">
        <v>390</v>
      </c>
      <c r="B34" s="2" t="s">
        <v>252</v>
      </c>
      <c r="C34" s="2" t="s">
        <v>247</v>
      </c>
      <c r="D34" s="2" t="s">
        <v>248</v>
      </c>
      <c r="E34" s="2" t="s">
        <v>247</v>
      </c>
      <c r="F34" s="2" t="s">
        <v>249</v>
      </c>
      <c r="G34" s="2" t="s">
        <v>412</v>
      </c>
      <c r="K34" s="242" t="s">
        <v>219</v>
      </c>
      <c r="L34" s="242" t="s">
        <v>219</v>
      </c>
    </row>
    <row r="35" spans="1:12" s="2" customFormat="1" x14ac:dyDescent="0.15">
      <c r="A35" s="3">
        <v>10900</v>
      </c>
      <c r="B35" s="242" t="s">
        <v>22</v>
      </c>
      <c r="C35" s="242" t="s">
        <v>410</v>
      </c>
      <c r="D35" s="242" t="s">
        <v>10</v>
      </c>
      <c r="E35" s="242" t="s">
        <v>410</v>
      </c>
      <c r="F35" s="242" t="s">
        <v>11</v>
      </c>
      <c r="G35" s="242" t="s">
        <v>412</v>
      </c>
      <c r="H35" s="242" t="s">
        <v>12</v>
      </c>
      <c r="I35" s="242" t="s">
        <v>13</v>
      </c>
      <c r="J35" s="242" t="s">
        <v>415</v>
      </c>
      <c r="K35" s="2" t="s">
        <v>220</v>
      </c>
      <c r="L35" s="2" t="s">
        <v>220</v>
      </c>
    </row>
    <row r="36" spans="1:12" s="2" customFormat="1" x14ac:dyDescent="0.15">
      <c r="A36" s="3" t="s">
        <v>391</v>
      </c>
      <c r="B36" s="2" t="s">
        <v>253</v>
      </c>
      <c r="C36" s="2" t="s">
        <v>254</v>
      </c>
      <c r="D36" s="2" t="s">
        <v>255</v>
      </c>
      <c r="E36" s="2" t="s">
        <v>256</v>
      </c>
      <c r="F36" s="2" t="s">
        <v>257</v>
      </c>
      <c r="G36" s="2" t="s">
        <v>412</v>
      </c>
      <c r="H36" s="2" t="s">
        <v>258</v>
      </c>
      <c r="I36" s="2" t="s">
        <v>255</v>
      </c>
      <c r="J36" s="2" t="s">
        <v>415</v>
      </c>
      <c r="K36" s="2" t="str">
        <f>IF($B$57="11 000SLAB","Door Style 117",IF($B$57="11 000SQUARE","Door Style 101","Door Style 117"))</f>
        <v>Door Style 117</v>
      </c>
      <c r="L36" s="2" t="str">
        <f>IF($B$58="11 000SLAB","Door Style 117",IF($B$58="11 000SQUARE","Door Style 101","Door Style 117"))</f>
        <v>Door Style 117</v>
      </c>
    </row>
    <row r="37" spans="1:12" s="2" customFormat="1" x14ac:dyDescent="0.15">
      <c r="A37" s="3" t="s">
        <v>259</v>
      </c>
      <c r="B37" s="2" t="s">
        <v>471</v>
      </c>
      <c r="C37" s="2" t="s">
        <v>260</v>
      </c>
      <c r="D37" s="2" t="s">
        <v>473</v>
      </c>
      <c r="E37" s="2" t="s">
        <v>260</v>
      </c>
      <c r="F37" s="2" t="s">
        <v>475</v>
      </c>
      <c r="G37" s="2" t="s">
        <v>238</v>
      </c>
      <c r="K37" s="2" t="str">
        <f>IF($B$57="7000 CHESTERSQUARE","Door Style 101","Door Style 117")</f>
        <v>Door Style 117</v>
      </c>
      <c r="L37" s="2" t="str">
        <f>IF($B$58="7000 CHESTERSQUARE","Door Style 101","Door Style 117")</f>
        <v>Door Style 117</v>
      </c>
    </row>
    <row r="38" spans="1:12" s="2" customFormat="1" x14ac:dyDescent="0.15">
      <c r="A38" s="3" t="s">
        <v>261</v>
      </c>
      <c r="B38" s="2" t="s">
        <v>233</v>
      </c>
      <c r="C38" s="2" t="s">
        <v>260</v>
      </c>
      <c r="D38" s="2" t="s">
        <v>235</v>
      </c>
      <c r="E38" s="2" t="s">
        <v>260</v>
      </c>
      <c r="F38" s="2" t="s">
        <v>237</v>
      </c>
      <c r="G38" s="2" t="s">
        <v>238</v>
      </c>
      <c r="K38" s="2" t="str">
        <f>IF($B$57="9000 CHESTERSQUARE","Door Style 101","Door Style 117")</f>
        <v>Door Style 117</v>
      </c>
      <c r="L38" s="2" t="str">
        <f>IF($B$58="9000 CHESTERSQUARE","Door Style 101","Door Style 117")</f>
        <v>Door Style 117</v>
      </c>
    </row>
    <row r="39" spans="1:12" s="2" customFormat="1" x14ac:dyDescent="0.15">
      <c r="A39" s="3" t="s">
        <v>227</v>
      </c>
      <c r="B39" s="2" t="s">
        <v>233</v>
      </c>
      <c r="C39" s="2" t="s">
        <v>228</v>
      </c>
      <c r="D39" s="2" t="s">
        <v>235</v>
      </c>
      <c r="E39" s="2" t="s">
        <v>228</v>
      </c>
      <c r="F39" s="2" t="s">
        <v>237</v>
      </c>
      <c r="G39" s="2" t="s">
        <v>238</v>
      </c>
      <c r="H39" s="2" t="s">
        <v>239</v>
      </c>
      <c r="I39" s="2" t="s">
        <v>212</v>
      </c>
      <c r="J39" s="2" t="s">
        <v>415</v>
      </c>
      <c r="K39" s="2" t="str">
        <f>IF($B$57="9000 WEG EDGEARCH","Door Style 102",IF($B$57="9000 WEG EDGECATHEDRAL","Door Style 103",IF($B$57="9000 WEG EDGESQUARE","Door Style 101","Door Style 117")))</f>
        <v>Door Style 117</v>
      </c>
      <c r="L39" s="2" t="str">
        <f>IF($B$58="9000 WEG EDGEARCH","Door Style 102",IF($B$58="9000 WEG EDGECATHEDRAL","Door Style 103",IF($B$58="9000 WEG EDGESQUARE","Door Style 101","Door Style 117")))</f>
        <v>Door Style 117</v>
      </c>
    </row>
    <row r="40" spans="1:12" s="2" customFormat="1" x14ac:dyDescent="0.15">
      <c r="A40" s="3" t="s">
        <v>14</v>
      </c>
      <c r="B40" s="242" t="s">
        <v>15</v>
      </c>
      <c r="C40" s="242" t="s">
        <v>16</v>
      </c>
      <c r="D40" s="242" t="s">
        <v>17</v>
      </c>
      <c r="E40" s="242" t="s">
        <v>16</v>
      </c>
      <c r="F40" s="242" t="s">
        <v>17</v>
      </c>
      <c r="G40" s="242" t="s">
        <v>412</v>
      </c>
      <c r="K40" s="2" t="s">
        <v>220</v>
      </c>
      <c r="L40" s="2" t="s">
        <v>220</v>
      </c>
    </row>
    <row r="41" spans="1:12" s="2" customFormat="1" x14ac:dyDescent="0.15">
      <c r="A41" s="3" t="s">
        <v>262</v>
      </c>
      <c r="B41" s="2" t="s">
        <v>263</v>
      </c>
      <c r="C41" s="2" t="s">
        <v>260</v>
      </c>
      <c r="D41" s="2" t="s">
        <v>264</v>
      </c>
      <c r="E41" s="2" t="s">
        <v>260</v>
      </c>
      <c r="F41" s="2" t="s">
        <v>265</v>
      </c>
      <c r="G41" s="2" t="s">
        <v>238</v>
      </c>
      <c r="K41" s="2" t="str">
        <f>IF($B$57="CHESTERSQUARE","Door Style 101","Door Style 117")</f>
        <v>Door Style 117</v>
      </c>
      <c r="L41" s="2" t="str">
        <f>IF($B$58="CHESTERSQUARE","Door Style 101","Door Style 117")</f>
        <v>Door Style 117</v>
      </c>
    </row>
    <row r="42" spans="1:12" s="2" customFormat="1" x14ac:dyDescent="0.15">
      <c r="A42" s="3" t="s">
        <v>266</v>
      </c>
      <c r="B42" s="2" t="s">
        <v>483</v>
      </c>
      <c r="C42" s="2" t="s">
        <v>484</v>
      </c>
      <c r="D42" s="2" t="s">
        <v>485</v>
      </c>
      <c r="E42" s="2" t="s">
        <v>486</v>
      </c>
      <c r="F42" s="2" t="s">
        <v>487</v>
      </c>
      <c r="G42" s="2" t="s">
        <v>412</v>
      </c>
      <c r="H42" s="2" t="s">
        <v>488</v>
      </c>
      <c r="I42" s="2" t="s">
        <v>489</v>
      </c>
      <c r="J42" s="2" t="s">
        <v>415</v>
      </c>
      <c r="K42" s="2" t="str">
        <f>IF($B$57="CLASSICARCH","Door Style 102",IF($B$57="CLASSICCATHEDRAL","Door Style 103",IF($B$57="CLASSICSQUARE","Door Style 101","Door Style 117")))</f>
        <v>Door Style 117</v>
      </c>
      <c r="L42" s="2" t="str">
        <f>IF($B$58="CLASSICARCH","Door Style 102",IF($B$58="CLASSICCATHEDRAL","Door Style 103",IF($B$58="CLASSICSQUARE","Door Style 101","Door Style 117")))</f>
        <v>Door Style 117</v>
      </c>
    </row>
    <row r="43" spans="1:12" s="2" customFormat="1" x14ac:dyDescent="0.15">
      <c r="A43" s="3" t="s">
        <v>267</v>
      </c>
      <c r="B43" s="2" t="s">
        <v>268</v>
      </c>
      <c r="C43" s="2" t="s">
        <v>269</v>
      </c>
      <c r="D43" s="2" t="s">
        <v>270</v>
      </c>
      <c r="E43" s="2" t="s">
        <v>271</v>
      </c>
      <c r="F43" s="2" t="s">
        <v>272</v>
      </c>
      <c r="G43" s="2" t="s">
        <v>412</v>
      </c>
      <c r="H43" s="2" t="s">
        <v>476</v>
      </c>
      <c r="I43" s="2" t="s">
        <v>273</v>
      </c>
      <c r="J43" s="2" t="s">
        <v>415</v>
      </c>
    </row>
    <row r="44" spans="1:12" s="2" customFormat="1" x14ac:dyDescent="0.15">
      <c r="A44" s="3" t="s">
        <v>29</v>
      </c>
      <c r="B44" s="2" t="s">
        <v>250</v>
      </c>
      <c r="C44" s="2" t="s">
        <v>247</v>
      </c>
      <c r="D44" s="2" t="s">
        <v>30</v>
      </c>
      <c r="E44" s="2" t="s">
        <v>247</v>
      </c>
      <c r="F44" s="2" t="s">
        <v>31</v>
      </c>
      <c r="G44" s="2" t="s">
        <v>412</v>
      </c>
      <c r="H44" s="2" t="s">
        <v>250</v>
      </c>
      <c r="I44" s="2" t="s">
        <v>30</v>
      </c>
      <c r="J44" s="2" t="s">
        <v>415</v>
      </c>
      <c r="K44" s="2" t="s">
        <v>219</v>
      </c>
      <c r="L44" s="2" t="s">
        <v>219</v>
      </c>
    </row>
    <row r="45" spans="1:12" s="2" customFormat="1" x14ac:dyDescent="0.15">
      <c r="A45" s="3" t="s">
        <v>32</v>
      </c>
      <c r="B45" s="2" t="s">
        <v>250</v>
      </c>
      <c r="C45" s="2" t="s">
        <v>247</v>
      </c>
      <c r="D45" s="2" t="s">
        <v>30</v>
      </c>
      <c r="E45" s="2" t="s">
        <v>247</v>
      </c>
      <c r="F45" s="2" t="s">
        <v>31</v>
      </c>
      <c r="G45" s="2" t="s">
        <v>412</v>
      </c>
      <c r="H45" s="2" t="s">
        <v>250</v>
      </c>
      <c r="I45" s="2" t="s">
        <v>30</v>
      </c>
      <c r="J45" s="2" t="s">
        <v>415</v>
      </c>
      <c r="K45" s="2" t="s">
        <v>219</v>
      </c>
      <c r="L45" s="2" t="s">
        <v>219</v>
      </c>
    </row>
    <row r="46" spans="1:12" s="2" customFormat="1" x14ac:dyDescent="0.15">
      <c r="A46" s="3" t="s">
        <v>274</v>
      </c>
      <c r="B46" s="2" t="s">
        <v>275</v>
      </c>
      <c r="C46" s="2" t="s">
        <v>276</v>
      </c>
      <c r="D46" s="2" t="s">
        <v>277</v>
      </c>
      <c r="E46" s="2" t="s">
        <v>276</v>
      </c>
      <c r="F46" s="2" t="s">
        <v>278</v>
      </c>
      <c r="G46" s="2" t="s">
        <v>412</v>
      </c>
    </row>
    <row r="47" spans="1:12" x14ac:dyDescent="0.15">
      <c r="A47" s="4"/>
    </row>
    <row r="48" spans="1:12" x14ac:dyDescent="0.15">
      <c r="G48" t="s">
        <v>279</v>
      </c>
    </row>
    <row r="50" spans="1:9" x14ac:dyDescent="0.15">
      <c r="A50" t="s">
        <v>280</v>
      </c>
      <c r="B50" t="s">
        <v>400</v>
      </c>
      <c r="C50">
        <f>'Metric Form'!E21</f>
        <v>0</v>
      </c>
      <c r="D50" t="s">
        <v>281</v>
      </c>
      <c r="E50">
        <f>'Metric Form'!G49</f>
        <v>0</v>
      </c>
      <c r="F50" t="s">
        <v>282</v>
      </c>
      <c r="G50" s="5">
        <f>'Metric Form'!D12</f>
        <v>0</v>
      </c>
      <c r="I50" s="6" t="s">
        <v>401</v>
      </c>
    </row>
    <row r="51" spans="1:9" x14ac:dyDescent="0.15">
      <c r="A51" t="s">
        <v>283</v>
      </c>
      <c r="B51" t="s">
        <v>400</v>
      </c>
      <c r="C51">
        <f>'Metric Form'!K21</f>
        <v>0</v>
      </c>
      <c r="D51" t="s">
        <v>284</v>
      </c>
      <c r="E51">
        <f>'Metric Form'!G50</f>
        <v>0</v>
      </c>
      <c r="F51" t="s">
        <v>285</v>
      </c>
      <c r="G51">
        <f>'Metric Form'!C14</f>
        <v>0</v>
      </c>
      <c r="I51" s="6" t="s">
        <v>402</v>
      </c>
    </row>
    <row r="52" spans="1:9" x14ac:dyDescent="0.15">
      <c r="A52" t="s">
        <v>286</v>
      </c>
      <c r="B52" t="s">
        <v>398</v>
      </c>
      <c r="C52">
        <f>'Metric Form'!Q21</f>
        <v>0</v>
      </c>
      <c r="D52" t="s">
        <v>287</v>
      </c>
      <c r="E52">
        <f>'Metric Form'!G51</f>
        <v>0</v>
      </c>
      <c r="F52" t="s">
        <v>288</v>
      </c>
      <c r="G52">
        <f>'Metric Form'!N12</f>
        <v>0</v>
      </c>
      <c r="I52" t="s">
        <v>403</v>
      </c>
    </row>
    <row r="53" spans="1:9" x14ac:dyDescent="0.15">
      <c r="D53" t="s">
        <v>289</v>
      </c>
      <c r="E53">
        <f>'Metric Form'!G52</f>
        <v>0</v>
      </c>
      <c r="F53" t="s">
        <v>399</v>
      </c>
      <c r="G53">
        <f>'Metric Form'!P14</f>
        <v>0</v>
      </c>
      <c r="I53" s="7" t="s">
        <v>404</v>
      </c>
    </row>
    <row r="54" spans="1:9" x14ac:dyDescent="0.15">
      <c r="A54" t="s">
        <v>290</v>
      </c>
      <c r="B54">
        <f>'Metric Form'!B5</f>
        <v>0</v>
      </c>
      <c r="D54" t="s">
        <v>353</v>
      </c>
      <c r="E54">
        <f>'Metric Form'!L42</f>
        <v>0</v>
      </c>
      <c r="F54" t="s">
        <v>292</v>
      </c>
      <c r="G54">
        <f>'Metric Form'!Q17</f>
        <v>0</v>
      </c>
      <c r="I54" s="2" t="s">
        <v>405</v>
      </c>
    </row>
    <row r="55" spans="1:9" x14ac:dyDescent="0.15">
      <c r="A55" t="s">
        <v>291</v>
      </c>
      <c r="B55" s="6" t="e">
        <f>VLOOKUP(Codes!G50,$A$2:$J$41,MATCH($I$52,$A1:$J$1,))</f>
        <v>#N/A</v>
      </c>
      <c r="F55" t="s">
        <v>294</v>
      </c>
      <c r="G55">
        <f>'Metric Form'!Q18</f>
        <v>0</v>
      </c>
      <c r="I55" s="2" t="s">
        <v>406</v>
      </c>
    </row>
    <row r="56" spans="1:9" x14ac:dyDescent="0.15">
      <c r="D56" t="s">
        <v>293</v>
      </c>
      <c r="E56">
        <f>'Metric Form'!L47</f>
        <v>0</v>
      </c>
      <c r="F56" t="s">
        <v>20</v>
      </c>
      <c r="G56">
        <f>'Metric Form'!M47</f>
        <v>0</v>
      </c>
      <c r="I56" s="2" t="s">
        <v>407</v>
      </c>
    </row>
    <row r="57" spans="1:9" x14ac:dyDescent="0.15">
      <c r="A57" t="s">
        <v>295</v>
      </c>
      <c r="B57" t="str">
        <f>G50&amp;""&amp;C50</f>
        <v>00</v>
      </c>
      <c r="D57" t="s">
        <v>296</v>
      </c>
      <c r="E57">
        <f>'Metric Form'!L48</f>
        <v>0</v>
      </c>
      <c r="F57" t="s">
        <v>20</v>
      </c>
      <c r="G57">
        <f>'Metric Form'!M48</f>
        <v>0</v>
      </c>
      <c r="I57" s="2" t="s">
        <v>408</v>
      </c>
    </row>
    <row r="58" spans="1:9" x14ac:dyDescent="0.15">
      <c r="A58" t="s">
        <v>297</v>
      </c>
      <c r="B58" t="str">
        <f>G50&amp;""&amp;C51</f>
        <v>00</v>
      </c>
      <c r="D58" t="s">
        <v>298</v>
      </c>
      <c r="E58">
        <f>'Metric Form'!L49</f>
        <v>0</v>
      </c>
      <c r="F58" t="s">
        <v>20</v>
      </c>
      <c r="G58">
        <f>'Metric Form'!M49</f>
        <v>0</v>
      </c>
      <c r="I58" s="2" t="s">
        <v>409</v>
      </c>
    </row>
    <row r="59" spans="1:9" x14ac:dyDescent="0.15">
      <c r="A59" t="s">
        <v>299</v>
      </c>
      <c r="B59" t="str">
        <f>G50&amp;""&amp;C52</f>
        <v>00</v>
      </c>
      <c r="D59" t="s">
        <v>300</v>
      </c>
      <c r="E59">
        <f>'Metric Form'!L50</f>
        <v>0</v>
      </c>
      <c r="F59" t="s">
        <v>20</v>
      </c>
      <c r="G59">
        <f>'Metric Form'!M50</f>
        <v>0</v>
      </c>
      <c r="I59" s="242" t="s">
        <v>207</v>
      </c>
    </row>
    <row r="60" spans="1:9" x14ac:dyDescent="0.15">
      <c r="D60" t="s">
        <v>301</v>
      </c>
      <c r="E60">
        <f>'Metric Form'!L51</f>
        <v>0</v>
      </c>
      <c r="F60" t="s">
        <v>20</v>
      </c>
      <c r="G60">
        <f>'Metric Form'!M51</f>
        <v>0</v>
      </c>
      <c r="I60" s="242" t="s">
        <v>208</v>
      </c>
    </row>
    <row r="61" spans="1:9" x14ac:dyDescent="0.15">
      <c r="D61" t="s">
        <v>43</v>
      </c>
      <c r="E61">
        <f>'Metric Form'!L52</f>
        <v>0</v>
      </c>
      <c r="F61" t="s">
        <v>20</v>
      </c>
      <c r="G61">
        <f>'Metric Form'!M52</f>
        <v>0</v>
      </c>
    </row>
    <row r="62" spans="1:9" x14ac:dyDescent="0.15">
      <c r="F62" s="6"/>
      <c r="G62" s="6"/>
    </row>
    <row r="63" spans="1:9" x14ac:dyDescent="0.15">
      <c r="F63" s="6"/>
      <c r="G63" s="6"/>
    </row>
    <row r="64" spans="1:9" x14ac:dyDescent="0.15">
      <c r="F64" s="6"/>
      <c r="G64" s="6"/>
    </row>
    <row r="65" spans="6:7" x14ac:dyDescent="0.15">
      <c r="F65" s="6"/>
      <c r="G65" s="6"/>
    </row>
    <row r="83" spans="3:3" x14ac:dyDescent="0.15">
      <c r="C83" t="s">
        <v>279</v>
      </c>
    </row>
  </sheetData>
  <sheetProtection password="C41E"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Ruler="0" topLeftCell="D1" workbookViewId="0">
      <selection activeCell="R63" sqref="R63"/>
    </sheetView>
  </sheetViews>
  <sheetFormatPr baseColWidth="10" defaultColWidth="8.83203125" defaultRowHeight="13" x14ac:dyDescent="0.15"/>
  <cols>
    <col min="1" max="1" width="9.83203125" style="6" customWidth="1"/>
    <col min="2" max="2" width="10.1640625" style="6" customWidth="1"/>
    <col min="3" max="3" width="10.33203125" customWidth="1"/>
    <col min="4" max="4" width="9.83203125" customWidth="1"/>
    <col min="5" max="5" width="16.6640625" customWidth="1"/>
    <col min="6" max="6" width="9" customWidth="1"/>
    <col min="8" max="8" width="13.1640625" customWidth="1"/>
    <col min="9" max="9" width="13.83203125" customWidth="1"/>
    <col min="10" max="10" width="13" customWidth="1"/>
    <col min="11" max="16" width="13.6640625" customWidth="1"/>
    <col min="17" max="17" width="13.1640625" customWidth="1"/>
    <col min="18" max="19" width="14" customWidth="1"/>
    <col min="20" max="20" width="8.83203125" customWidth="1"/>
    <col min="21" max="21" width="17.1640625" customWidth="1"/>
    <col min="22" max="22" width="10.5" customWidth="1"/>
    <col min="23" max="23" width="11.33203125" customWidth="1"/>
    <col min="24" max="24" width="12.6640625" customWidth="1"/>
    <col min="25" max="25" width="29.83203125" customWidth="1"/>
    <col min="26" max="26" width="19.1640625" customWidth="1"/>
    <col min="27" max="27" width="26.6640625" customWidth="1"/>
    <col min="28" max="29" width="13.6640625" customWidth="1"/>
  </cols>
  <sheetData>
    <row r="1" spans="1:29" x14ac:dyDescent="0.15">
      <c r="A1" s="6" t="s">
        <v>302</v>
      </c>
      <c r="B1" s="6" t="s">
        <v>303</v>
      </c>
      <c r="C1" t="s">
        <v>304</v>
      </c>
      <c r="D1" t="s">
        <v>305</v>
      </c>
      <c r="E1" t="s">
        <v>306</v>
      </c>
      <c r="F1" t="s">
        <v>307</v>
      </c>
      <c r="G1" t="s">
        <v>308</v>
      </c>
      <c r="H1" t="s">
        <v>309</v>
      </c>
      <c r="I1" t="s">
        <v>310</v>
      </c>
      <c r="J1" t="s">
        <v>311</v>
      </c>
      <c r="K1" t="s">
        <v>312</v>
      </c>
      <c r="L1" t="s">
        <v>313</v>
      </c>
      <c r="M1" t="s">
        <v>314</v>
      </c>
      <c r="N1" t="s">
        <v>315</v>
      </c>
      <c r="O1" t="s">
        <v>316</v>
      </c>
      <c r="P1" t="s">
        <v>317</v>
      </c>
      <c r="Q1" t="s">
        <v>288</v>
      </c>
      <c r="R1" t="s">
        <v>351</v>
      </c>
      <c r="S1" t="s">
        <v>318</v>
      </c>
      <c r="T1" t="s">
        <v>349</v>
      </c>
      <c r="U1" t="s">
        <v>285</v>
      </c>
      <c r="V1" t="s">
        <v>400</v>
      </c>
      <c r="W1" t="s">
        <v>319</v>
      </c>
      <c r="X1" t="s">
        <v>320</v>
      </c>
      <c r="Y1" t="s">
        <v>321</v>
      </c>
      <c r="Z1" t="s">
        <v>322</v>
      </c>
      <c r="AA1" t="s">
        <v>323</v>
      </c>
      <c r="AB1" t="s">
        <v>324</v>
      </c>
      <c r="AC1" t="s">
        <v>294</v>
      </c>
    </row>
    <row r="2" spans="1:29" x14ac:dyDescent="0.15">
      <c r="A2" s="10">
        <f>'Metric Form'!E24</f>
        <v>0</v>
      </c>
      <c r="B2" s="10">
        <f>'Metric Form'!F24</f>
        <v>0</v>
      </c>
      <c r="C2" s="8">
        <f>A2</f>
        <v>0</v>
      </c>
      <c r="D2" s="8">
        <f>B2</f>
        <v>0</v>
      </c>
      <c r="E2" s="6" t="e">
        <f>VLOOKUP(Codes!$G$50,Codes!$A$2:$L$46,MATCH(Codes!$I$59,Codes!$A$1:$L$1,))</f>
        <v>#N/A</v>
      </c>
      <c r="F2">
        <f>'Metric Form'!D24</f>
        <v>0</v>
      </c>
      <c r="G2">
        <v>1</v>
      </c>
      <c r="H2" s="6" t="e">
        <f>IF(E2="Door Style 214","7000ARCHs",VLOOKUP(Codes!$G$50,Codes!$A$2:$J$41,MATCH(Codes!$I$50,Codes!$A$1:$J$1,)))</f>
        <v>#N/A</v>
      </c>
      <c r="I2" s="6" t="e">
        <f>VLOOKUP(Codes!$G$50,Codes!$A$2:$J$41,MATCH(Codes!$I$51,Codes!$A$1:$J$1,))</f>
        <v>#N/A</v>
      </c>
      <c r="J2" s="6" t="e">
        <f>IF(E2="Door Style 214","7ARCsG",VLOOKUP(Codes!$G$50,Codes!$A$2:$J$41,MATCH(Codes!$I$52,Codes!$A$1:$J$1,)))</f>
        <v>#N/A</v>
      </c>
      <c r="K2" t="e">
        <f>IF($E2="Door Style 102","31",IF($E2="Door Style 214","31",""))</f>
        <v>#N/A</v>
      </c>
      <c r="L2" t="e">
        <f>IF($E2="Door Style 3b","40",IF($E2="Door Style 103","40",""))</f>
        <v>#N/A</v>
      </c>
      <c r="M2" t="e">
        <f>IF($E2="Door Style 103","0.32","")</f>
        <v>#N/A</v>
      </c>
      <c r="N2" t="e">
        <f>IF($E2="Door Style 3b","20.4","")</f>
        <v>#N/A</v>
      </c>
      <c r="O2" t="e">
        <f>IF($E2="Door Style 3b","-0.1","")</f>
        <v>#N/A</v>
      </c>
      <c r="P2" s="6" t="e">
        <f>VLOOKUP(Codes!$G$50,Codes!$A$1:$I$41,MATCH(Codes!$I$55,Codes!$A$1:$I$1,))</f>
        <v>#N/A</v>
      </c>
      <c r="Q2">
        <f>Codes!$G$52</f>
        <v>0</v>
      </c>
      <c r="R2">
        <f>Codes!G53</f>
        <v>0</v>
      </c>
      <c r="S2">
        <f>IF($R2="MATCHING","1",0)</f>
        <v>0</v>
      </c>
      <c r="T2">
        <f>Codes!$G$50</f>
        <v>0</v>
      </c>
      <c r="U2">
        <f>Codes!$G$51</f>
        <v>0</v>
      </c>
      <c r="V2" s="6">
        <f>Codes!$C$50</f>
        <v>0</v>
      </c>
      <c r="W2" t="s">
        <v>325</v>
      </c>
      <c r="X2">
        <f>Codes!$B$54</f>
        <v>0</v>
      </c>
      <c r="Y2" t="str">
        <f>'Metric Form'!$D$8</f>
        <v>Cabinetmart Inc</v>
      </c>
      <c r="Z2">
        <f>'Metric Form'!$D$10</f>
        <v>0</v>
      </c>
      <c r="AA2" t="str">
        <f>IF(Codes!$G$54="YES","FINGER PULLS","")</f>
        <v/>
      </c>
      <c r="AB2" t="e">
        <f>IF($E2="Door Style 125","HOGGsNEW",IF(Codes!$G$50="10 600","HOGGsNEW",IF(Codes!$G$50="RILEY","HOGGs","")))</f>
        <v>#N/A</v>
      </c>
      <c r="AC2" t="e">
        <f>IF($E2="Door Style 126","RCH_NELs","")</f>
        <v>#N/A</v>
      </c>
    </row>
    <row r="3" spans="1:29" x14ac:dyDescent="0.15">
      <c r="A3" s="10">
        <f>'Metric Form'!E25</f>
        <v>0</v>
      </c>
      <c r="B3" s="10">
        <f>'Metric Form'!F25</f>
        <v>0</v>
      </c>
      <c r="C3" s="8">
        <f t="shared" ref="C3:D16" si="0">A3</f>
        <v>0</v>
      </c>
      <c r="D3" s="8">
        <f t="shared" si="0"/>
        <v>0</v>
      </c>
      <c r="E3" s="6" t="e">
        <f>VLOOKUP(Codes!$G$50,Codes!$A$2:$L$46,MATCH(Codes!$I$59,Codes!$A$1:$L$1,))</f>
        <v>#N/A</v>
      </c>
      <c r="F3">
        <f>'Metric Form'!D25</f>
        <v>0</v>
      </c>
      <c r="G3">
        <v>1</v>
      </c>
      <c r="H3" s="6" t="e">
        <f>IF(E3="Door Style 214","7000ARCHs",VLOOKUP(Codes!$G$50,Codes!$A$2:$J$41,MATCH(Codes!$I$50,Codes!$A$1:$J$1,)))</f>
        <v>#N/A</v>
      </c>
      <c r="I3" s="6" t="e">
        <f>VLOOKUP(Codes!$G$50,Codes!$A$2:$J$41,MATCH(Codes!$I$51,Codes!$A$1:$J$1,))</f>
        <v>#N/A</v>
      </c>
      <c r="J3" s="6" t="e">
        <f>IF(E3="Door Style 214","7ARCsG",VLOOKUP(Codes!$G$50,Codes!$A$2:$J$41,MATCH(Codes!$I$52,Codes!$A$1:$J$1,)))</f>
        <v>#N/A</v>
      </c>
      <c r="K3" t="e">
        <f t="shared" ref="K3:K32" si="1">IF($E3="Door Style 102","31",IF($E3="Door Style 214","31",""))</f>
        <v>#N/A</v>
      </c>
      <c r="L3" t="e">
        <f t="shared" ref="L3:L32" si="2">IF($E3="Door Style 3b","40",IF($E3="Door Style 103","40",""))</f>
        <v>#N/A</v>
      </c>
      <c r="M3" t="e">
        <f t="shared" ref="M3:M32" si="3">IF($E3="Door Style 103","0.32","")</f>
        <v>#N/A</v>
      </c>
      <c r="N3" t="e">
        <f t="shared" ref="N3:N58" si="4">IF($E3="Door Style 3b","20.4","")</f>
        <v>#N/A</v>
      </c>
      <c r="O3" t="e">
        <f t="shared" ref="O3:O58" si="5">IF($E3="Door Style 3b","-0.1","")</f>
        <v>#N/A</v>
      </c>
      <c r="P3" s="6" t="e">
        <f>VLOOKUP(Codes!$G$50,Codes!$A$1:$I$41,MATCH(Codes!$I$55,Codes!$A$1:$I$1,))</f>
        <v>#N/A</v>
      </c>
      <c r="Q3">
        <f>Codes!$G$52</f>
        <v>0</v>
      </c>
      <c r="R3">
        <f>Codes!G53</f>
        <v>0</v>
      </c>
      <c r="S3">
        <f t="shared" ref="S3:S32" si="6">IF($R3="MATCHING","1",0)</f>
        <v>0</v>
      </c>
      <c r="T3">
        <f>Codes!$G$50</f>
        <v>0</v>
      </c>
      <c r="U3">
        <f>Codes!$G$51</f>
        <v>0</v>
      </c>
      <c r="V3" s="6">
        <f>Codes!$C$50</f>
        <v>0</v>
      </c>
      <c r="W3" t="s">
        <v>325</v>
      </c>
      <c r="X3">
        <f>Codes!$B$54</f>
        <v>0</v>
      </c>
      <c r="Y3" t="str">
        <f>'Metric Form'!$D$8</f>
        <v>Cabinetmart Inc</v>
      </c>
      <c r="Z3">
        <f>'Metric Form'!$D$10</f>
        <v>0</v>
      </c>
      <c r="AA3" t="str">
        <f>IF(Codes!$G$54="YES","FINGER PULLS","")</f>
        <v/>
      </c>
      <c r="AB3" t="e">
        <f>IF($E3="Door Style 125","HOGGsNEW",IF(Codes!$G$50="10 600","HOGGsNEW",IF(Codes!$G$50="RILEY","HOGGs","")))</f>
        <v>#N/A</v>
      </c>
      <c r="AC3" t="e">
        <f t="shared" ref="AC3:AC58" si="7">IF($E3="Door Style 126","RCH_NELs","")</f>
        <v>#N/A</v>
      </c>
    </row>
    <row r="4" spans="1:29" x14ac:dyDescent="0.15">
      <c r="A4" s="10">
        <f>'Metric Form'!E26</f>
        <v>0</v>
      </c>
      <c r="B4" s="10">
        <f>'Metric Form'!F26</f>
        <v>0</v>
      </c>
      <c r="C4" s="8">
        <f t="shared" si="0"/>
        <v>0</v>
      </c>
      <c r="D4" s="8">
        <f t="shared" si="0"/>
        <v>0</v>
      </c>
      <c r="E4" s="6" t="e">
        <f>VLOOKUP(Codes!$G$50,Codes!$A$2:$L$46,MATCH(Codes!$I$59,Codes!$A$1:$L$1,))</f>
        <v>#N/A</v>
      </c>
      <c r="F4">
        <f>'Metric Form'!D26</f>
        <v>0</v>
      </c>
      <c r="G4">
        <v>1</v>
      </c>
      <c r="H4" s="6" t="e">
        <f>IF(E4="Door Style 214","7000ARCHs",VLOOKUP(Codes!$G$50,Codes!$A$2:$J$41,MATCH(Codes!$I$50,Codes!$A$1:$J$1,)))</f>
        <v>#N/A</v>
      </c>
      <c r="I4" s="6" t="e">
        <f>VLOOKUP(Codes!$G$50,Codes!$A$2:$J$41,MATCH(Codes!$I$51,Codes!$A$1:$J$1,))</f>
        <v>#N/A</v>
      </c>
      <c r="J4" s="6" t="e">
        <f>IF(E4="Door Style 214","7ARCsG",VLOOKUP(Codes!$G$50,Codes!$A$2:$J$41,MATCH(Codes!$I$52,Codes!$A$1:$J$1,)))</f>
        <v>#N/A</v>
      </c>
      <c r="K4" t="e">
        <f t="shared" si="1"/>
        <v>#N/A</v>
      </c>
      <c r="L4" t="e">
        <f t="shared" si="2"/>
        <v>#N/A</v>
      </c>
      <c r="M4" t="e">
        <f t="shared" si="3"/>
        <v>#N/A</v>
      </c>
      <c r="N4" t="e">
        <f t="shared" si="4"/>
        <v>#N/A</v>
      </c>
      <c r="O4" t="e">
        <f t="shared" si="5"/>
        <v>#N/A</v>
      </c>
      <c r="P4" s="6" t="e">
        <f>VLOOKUP(Codes!$G$50,Codes!$A$1:$I$41,MATCH(Codes!$I$55,Codes!$A$1:$I$1,))</f>
        <v>#N/A</v>
      </c>
      <c r="Q4">
        <f>Codes!$G$52</f>
        <v>0</v>
      </c>
      <c r="R4">
        <f>Codes!G53</f>
        <v>0</v>
      </c>
      <c r="S4">
        <f t="shared" si="6"/>
        <v>0</v>
      </c>
      <c r="T4">
        <f>Codes!$G$50</f>
        <v>0</v>
      </c>
      <c r="U4">
        <f>Codes!$G$51</f>
        <v>0</v>
      </c>
      <c r="V4" s="6">
        <f>Codes!$C$50</f>
        <v>0</v>
      </c>
      <c r="W4" t="s">
        <v>325</v>
      </c>
      <c r="X4">
        <f>Codes!$B$54</f>
        <v>0</v>
      </c>
      <c r="Y4" t="str">
        <f>'Metric Form'!$D$8</f>
        <v>Cabinetmart Inc</v>
      </c>
      <c r="Z4">
        <f>'Metric Form'!$D$10</f>
        <v>0</v>
      </c>
      <c r="AA4" t="str">
        <f>IF(Codes!$G$54="YES","FINGER PULLS","")</f>
        <v/>
      </c>
      <c r="AB4" t="e">
        <f>IF($E4="Door Style 125","HOGGsNEW",IF(Codes!$G$50="10 600","HOGGsNEW",IF(Codes!$G$50="RILEY","HOGGs","")))</f>
        <v>#N/A</v>
      </c>
      <c r="AC4" t="e">
        <f t="shared" si="7"/>
        <v>#N/A</v>
      </c>
    </row>
    <row r="5" spans="1:29" x14ac:dyDescent="0.15">
      <c r="A5" s="10">
        <f>'Metric Form'!E27</f>
        <v>0</v>
      </c>
      <c r="B5" s="10">
        <f>'Metric Form'!F27</f>
        <v>0</v>
      </c>
      <c r="C5" s="8">
        <f t="shared" si="0"/>
        <v>0</v>
      </c>
      <c r="D5" s="8">
        <f t="shared" si="0"/>
        <v>0</v>
      </c>
      <c r="E5" s="6" t="e">
        <f>VLOOKUP(Codes!$G$50,Codes!$A$2:$L$46,MATCH(Codes!$I$59,Codes!$A$1:$L$1,))</f>
        <v>#N/A</v>
      </c>
      <c r="F5">
        <f>'Metric Form'!D27</f>
        <v>0</v>
      </c>
      <c r="G5">
        <v>1</v>
      </c>
      <c r="H5" s="6" t="e">
        <f>IF(E5="Door Style 214","7000ARCHs",VLOOKUP(Codes!$G$50,Codes!$A$2:$J$41,MATCH(Codes!$I$50,Codes!$A$1:$J$1,)))</f>
        <v>#N/A</v>
      </c>
      <c r="I5" s="6" t="e">
        <f>VLOOKUP(Codes!$G$50,Codes!$A$2:$J$41,MATCH(Codes!$I$51,Codes!$A$1:$J$1,))</f>
        <v>#N/A</v>
      </c>
      <c r="J5" s="6" t="e">
        <f>IF(E5="Door Style 214","7ARCsG",VLOOKUP(Codes!$G$50,Codes!$A$2:$J$41,MATCH(Codes!$I$52,Codes!$A$1:$J$1,)))</f>
        <v>#N/A</v>
      </c>
      <c r="K5" t="e">
        <f t="shared" si="1"/>
        <v>#N/A</v>
      </c>
      <c r="L5" t="e">
        <f t="shared" si="2"/>
        <v>#N/A</v>
      </c>
      <c r="M5" t="e">
        <f t="shared" si="3"/>
        <v>#N/A</v>
      </c>
      <c r="N5" t="e">
        <f t="shared" si="4"/>
        <v>#N/A</v>
      </c>
      <c r="O5" t="e">
        <f t="shared" si="5"/>
        <v>#N/A</v>
      </c>
      <c r="P5" s="6" t="e">
        <f>VLOOKUP(Codes!$G$50,Codes!$A$1:$I$41,MATCH(Codes!$I$55,Codes!$A$1:$I$1,))</f>
        <v>#N/A</v>
      </c>
      <c r="Q5">
        <f>Codes!$G$52</f>
        <v>0</v>
      </c>
      <c r="R5">
        <f>Codes!G53</f>
        <v>0</v>
      </c>
      <c r="S5">
        <f t="shared" si="6"/>
        <v>0</v>
      </c>
      <c r="T5">
        <f>Codes!$G$50</f>
        <v>0</v>
      </c>
      <c r="U5">
        <f>Codes!$G$51</f>
        <v>0</v>
      </c>
      <c r="V5" s="6">
        <f>Codes!$C$50</f>
        <v>0</v>
      </c>
      <c r="W5" t="s">
        <v>325</v>
      </c>
      <c r="X5">
        <f>Codes!$B$54</f>
        <v>0</v>
      </c>
      <c r="Y5" t="str">
        <f>'Metric Form'!$D$8</f>
        <v>Cabinetmart Inc</v>
      </c>
      <c r="Z5">
        <f>'Metric Form'!$D$10</f>
        <v>0</v>
      </c>
      <c r="AA5" t="str">
        <f>IF(Codes!$G$54="YES","FINGER PULLS","")</f>
        <v/>
      </c>
      <c r="AB5" t="e">
        <f>IF($E5="Door Style 125","HOGGsNEW",IF(Codes!$G$50="10 600","HOGGsNEW",IF(Codes!$G$50="RILEY","HOGGs","")))</f>
        <v>#N/A</v>
      </c>
      <c r="AC5" t="e">
        <f t="shared" si="7"/>
        <v>#N/A</v>
      </c>
    </row>
    <row r="6" spans="1:29" x14ac:dyDescent="0.15">
      <c r="A6" s="10">
        <f>'Metric Form'!E28</f>
        <v>0</v>
      </c>
      <c r="B6" s="10">
        <f>'Metric Form'!F28</f>
        <v>0</v>
      </c>
      <c r="C6" s="8">
        <f t="shared" si="0"/>
        <v>0</v>
      </c>
      <c r="D6" s="8">
        <f t="shared" si="0"/>
        <v>0</v>
      </c>
      <c r="E6" s="6" t="e">
        <f>VLOOKUP(Codes!$G$50,Codes!$A$2:$L$46,MATCH(Codes!$I$59,Codes!$A$1:$L$1,))</f>
        <v>#N/A</v>
      </c>
      <c r="F6">
        <f>'Metric Form'!D28</f>
        <v>0</v>
      </c>
      <c r="G6">
        <v>1</v>
      </c>
      <c r="H6" s="6" t="e">
        <f>IF(E6="Door Style 214","7000ARCHs",VLOOKUP(Codes!$G$50,Codes!$A$2:$J$41,MATCH(Codes!$I$50,Codes!$A$1:$J$1,)))</f>
        <v>#N/A</v>
      </c>
      <c r="I6" s="6" t="e">
        <f>VLOOKUP(Codes!$G$50,Codes!$A$2:$J$41,MATCH(Codes!$I$51,Codes!$A$1:$J$1,))</f>
        <v>#N/A</v>
      </c>
      <c r="J6" s="6" t="e">
        <f>IF(E6="Door Style 214","7ARCsG",VLOOKUP(Codes!$G$50,Codes!$A$2:$J$41,MATCH(Codes!$I$52,Codes!$A$1:$J$1,)))</f>
        <v>#N/A</v>
      </c>
      <c r="K6" t="e">
        <f t="shared" si="1"/>
        <v>#N/A</v>
      </c>
      <c r="L6" t="e">
        <f t="shared" si="2"/>
        <v>#N/A</v>
      </c>
      <c r="M6" t="e">
        <f t="shared" si="3"/>
        <v>#N/A</v>
      </c>
      <c r="N6" t="e">
        <f t="shared" si="4"/>
        <v>#N/A</v>
      </c>
      <c r="O6" t="e">
        <f t="shared" si="5"/>
        <v>#N/A</v>
      </c>
      <c r="P6" s="6" t="e">
        <f>VLOOKUP(Codes!$G$50,Codes!$A$1:$I$41,MATCH(Codes!$I$55,Codes!$A$1:$I$1,))</f>
        <v>#N/A</v>
      </c>
      <c r="Q6">
        <f>Codes!$G$52</f>
        <v>0</v>
      </c>
      <c r="R6">
        <f>Codes!G53</f>
        <v>0</v>
      </c>
      <c r="S6">
        <f t="shared" si="6"/>
        <v>0</v>
      </c>
      <c r="T6">
        <f>Codes!$G$50</f>
        <v>0</v>
      </c>
      <c r="U6">
        <f>Codes!$G$51</f>
        <v>0</v>
      </c>
      <c r="V6" s="6">
        <f>Codes!$C$50</f>
        <v>0</v>
      </c>
      <c r="W6" t="s">
        <v>325</v>
      </c>
      <c r="X6">
        <f>Codes!$B$54</f>
        <v>0</v>
      </c>
      <c r="Y6" t="str">
        <f>'Metric Form'!$D$8</f>
        <v>Cabinetmart Inc</v>
      </c>
      <c r="Z6">
        <f>'Metric Form'!$D$10</f>
        <v>0</v>
      </c>
      <c r="AA6" t="str">
        <f>IF(Codes!$G$54="YES","FINGER PULLS","")</f>
        <v/>
      </c>
      <c r="AB6" t="e">
        <f>IF($E6="Door Style 125","HOGGsNEW",IF(Codes!$G$50="10 600","HOGGsNEW",IF(Codes!$G$50="RILEY","HOGGs","")))</f>
        <v>#N/A</v>
      </c>
      <c r="AC6" t="e">
        <f t="shared" si="7"/>
        <v>#N/A</v>
      </c>
    </row>
    <row r="7" spans="1:29" x14ac:dyDescent="0.15">
      <c r="A7" s="10">
        <f>'Metric Form'!E29</f>
        <v>0</v>
      </c>
      <c r="B7" s="10">
        <f>'Metric Form'!F29</f>
        <v>0</v>
      </c>
      <c r="C7" s="8">
        <f t="shared" si="0"/>
        <v>0</v>
      </c>
      <c r="D7" s="8">
        <f t="shared" si="0"/>
        <v>0</v>
      </c>
      <c r="E7" s="6" t="e">
        <f>VLOOKUP(Codes!$G$50,Codes!$A$2:$L$46,MATCH(Codes!$I$59,Codes!$A$1:$L$1,))</f>
        <v>#N/A</v>
      </c>
      <c r="F7">
        <f>'Metric Form'!D29</f>
        <v>0</v>
      </c>
      <c r="G7">
        <v>1</v>
      </c>
      <c r="H7" s="6" t="e">
        <f>IF(E7="Door Style 214","7000ARCHs",VLOOKUP(Codes!$G$50,Codes!$A$2:$J$41,MATCH(Codes!$I$50,Codes!$A$1:$J$1,)))</f>
        <v>#N/A</v>
      </c>
      <c r="I7" s="6" t="e">
        <f>VLOOKUP(Codes!$G$50,Codes!$A$2:$J$41,MATCH(Codes!$I$51,Codes!$A$1:$J$1,))</f>
        <v>#N/A</v>
      </c>
      <c r="J7" s="6" t="e">
        <f>IF(E7="Door Style 214","7ARCsG",VLOOKUP(Codes!$G$50,Codes!$A$2:$J$41,MATCH(Codes!$I$52,Codes!$A$1:$J$1,)))</f>
        <v>#N/A</v>
      </c>
      <c r="K7" t="e">
        <f t="shared" si="1"/>
        <v>#N/A</v>
      </c>
      <c r="L7" t="e">
        <f t="shared" si="2"/>
        <v>#N/A</v>
      </c>
      <c r="M7" t="e">
        <f t="shared" si="3"/>
        <v>#N/A</v>
      </c>
      <c r="N7" t="e">
        <f t="shared" si="4"/>
        <v>#N/A</v>
      </c>
      <c r="O7" t="e">
        <f t="shared" si="5"/>
        <v>#N/A</v>
      </c>
      <c r="P7" s="6" t="e">
        <f>VLOOKUP(Codes!$G$50,Codes!$A$1:$I$41,MATCH(Codes!$I$55,Codes!$A$1:$I$1,))</f>
        <v>#N/A</v>
      </c>
      <c r="Q7">
        <f>Codes!$G$52</f>
        <v>0</v>
      </c>
      <c r="R7">
        <f>Codes!G53</f>
        <v>0</v>
      </c>
      <c r="S7">
        <f t="shared" si="6"/>
        <v>0</v>
      </c>
      <c r="T7">
        <f>Codes!$G$50</f>
        <v>0</v>
      </c>
      <c r="U7">
        <f>Codes!$G$51</f>
        <v>0</v>
      </c>
      <c r="V7" s="6">
        <f>Codes!$C$50</f>
        <v>0</v>
      </c>
      <c r="W7" t="s">
        <v>325</v>
      </c>
      <c r="X7">
        <f>Codes!$B$54</f>
        <v>0</v>
      </c>
      <c r="Y7" t="str">
        <f>'Metric Form'!$D$8</f>
        <v>Cabinetmart Inc</v>
      </c>
      <c r="Z7">
        <f>'Metric Form'!$D$10</f>
        <v>0</v>
      </c>
      <c r="AA7" t="str">
        <f>IF(Codes!$G$54="YES","FINGER PULLS","")</f>
        <v/>
      </c>
      <c r="AB7" t="e">
        <f>IF($E7="Door Style 125","HOGGsNEW",IF(Codes!$G$50="10 600","HOGGsNEW",IF(Codes!$G$50="RILEY","HOGGs","")))</f>
        <v>#N/A</v>
      </c>
      <c r="AC7" t="e">
        <f t="shared" si="7"/>
        <v>#N/A</v>
      </c>
    </row>
    <row r="8" spans="1:29" x14ac:dyDescent="0.15">
      <c r="A8" s="10">
        <f>'Metric Form'!E30</f>
        <v>0</v>
      </c>
      <c r="B8" s="10">
        <f>'Metric Form'!F30</f>
        <v>0</v>
      </c>
      <c r="C8" s="8">
        <f t="shared" si="0"/>
        <v>0</v>
      </c>
      <c r="D8" s="8">
        <f t="shared" si="0"/>
        <v>0</v>
      </c>
      <c r="E8" s="6" t="e">
        <f>VLOOKUP(Codes!$G$50,Codes!$A$2:$L$46,MATCH(Codes!$I$59,Codes!$A$1:$L$1,))</f>
        <v>#N/A</v>
      </c>
      <c r="F8">
        <f>'Metric Form'!D30</f>
        <v>0</v>
      </c>
      <c r="G8">
        <v>1</v>
      </c>
      <c r="H8" s="6" t="e">
        <f>IF(E8="Door Style 214","7000ARCHs",VLOOKUP(Codes!$G$50,Codes!$A$2:$J$41,MATCH(Codes!$I$50,Codes!$A$1:$J$1,)))</f>
        <v>#N/A</v>
      </c>
      <c r="I8" s="6" t="e">
        <f>VLOOKUP(Codes!$G$50,Codes!$A$2:$J$41,MATCH(Codes!$I$51,Codes!$A$1:$J$1,))</f>
        <v>#N/A</v>
      </c>
      <c r="J8" s="6" t="e">
        <f>IF(E8="Door Style 214","7ARCsG",VLOOKUP(Codes!$G$50,Codes!$A$2:$J$41,MATCH(Codes!$I$52,Codes!$A$1:$J$1,)))</f>
        <v>#N/A</v>
      </c>
      <c r="K8" t="e">
        <f t="shared" si="1"/>
        <v>#N/A</v>
      </c>
      <c r="L8" t="e">
        <f t="shared" si="2"/>
        <v>#N/A</v>
      </c>
      <c r="M8" t="e">
        <f t="shared" si="3"/>
        <v>#N/A</v>
      </c>
      <c r="N8" t="e">
        <f t="shared" si="4"/>
        <v>#N/A</v>
      </c>
      <c r="O8" t="e">
        <f t="shared" si="5"/>
        <v>#N/A</v>
      </c>
      <c r="P8" s="6" t="e">
        <f>VLOOKUP(Codes!$G$50,Codes!$A$1:$I$41,MATCH(Codes!$I$55,Codes!$A$1:$I$1,))</f>
        <v>#N/A</v>
      </c>
      <c r="Q8">
        <f>Codes!$G$52</f>
        <v>0</v>
      </c>
      <c r="R8">
        <f>Codes!G53</f>
        <v>0</v>
      </c>
      <c r="S8">
        <f t="shared" si="6"/>
        <v>0</v>
      </c>
      <c r="T8">
        <f>Codes!$G$50</f>
        <v>0</v>
      </c>
      <c r="U8">
        <f>Codes!$G$51</f>
        <v>0</v>
      </c>
      <c r="V8" s="6">
        <f>Codes!$C$50</f>
        <v>0</v>
      </c>
      <c r="W8" t="s">
        <v>325</v>
      </c>
      <c r="X8">
        <f>Codes!$B$54</f>
        <v>0</v>
      </c>
      <c r="Y8" t="str">
        <f>'Metric Form'!$D$8</f>
        <v>Cabinetmart Inc</v>
      </c>
      <c r="Z8">
        <f>'Metric Form'!$D$10</f>
        <v>0</v>
      </c>
      <c r="AA8" t="str">
        <f>IF(Codes!$G$54="YES","FINGER PULLS","")</f>
        <v/>
      </c>
      <c r="AB8" t="e">
        <f>IF($E8="Door Style 125","HOGGsNEW",IF(Codes!$G$50="10 600","HOGGsNEW",IF(Codes!$G$50="RILEY","HOGGs","")))</f>
        <v>#N/A</v>
      </c>
      <c r="AC8" t="e">
        <f t="shared" si="7"/>
        <v>#N/A</v>
      </c>
    </row>
    <row r="9" spans="1:29" x14ac:dyDescent="0.15">
      <c r="A9" s="10">
        <f>'Metric Form'!E31</f>
        <v>0</v>
      </c>
      <c r="B9" s="10">
        <f>'Metric Form'!F31</f>
        <v>0</v>
      </c>
      <c r="C9" s="8">
        <f t="shared" si="0"/>
        <v>0</v>
      </c>
      <c r="D9" s="8">
        <f t="shared" si="0"/>
        <v>0</v>
      </c>
      <c r="E9" s="6" t="e">
        <f>VLOOKUP(Codes!$G$50,Codes!$A$2:$L$46,MATCH(Codes!$I$59,Codes!$A$1:$L$1,))</f>
        <v>#N/A</v>
      </c>
      <c r="F9">
        <f>'Metric Form'!D31</f>
        <v>0</v>
      </c>
      <c r="G9">
        <v>1</v>
      </c>
      <c r="H9" s="6" t="e">
        <f>IF(E9="Door Style 214","7000ARCHs",VLOOKUP(Codes!$G$50,Codes!$A$2:$J$41,MATCH(Codes!$I$50,Codes!$A$1:$J$1,)))</f>
        <v>#N/A</v>
      </c>
      <c r="I9" s="6" t="e">
        <f>VLOOKUP(Codes!$G$50,Codes!$A$2:$J$41,MATCH(Codes!$I$51,Codes!$A$1:$J$1,))</f>
        <v>#N/A</v>
      </c>
      <c r="J9" s="6" t="e">
        <f>IF(E9="Door Style 214","7ARCsG",VLOOKUP(Codes!$G$50,Codes!$A$2:$J$41,MATCH(Codes!$I$52,Codes!$A$1:$J$1,)))</f>
        <v>#N/A</v>
      </c>
      <c r="K9" t="e">
        <f t="shared" si="1"/>
        <v>#N/A</v>
      </c>
      <c r="L9" t="e">
        <f t="shared" si="2"/>
        <v>#N/A</v>
      </c>
      <c r="M9" t="e">
        <f t="shared" si="3"/>
        <v>#N/A</v>
      </c>
      <c r="N9" t="e">
        <f t="shared" si="4"/>
        <v>#N/A</v>
      </c>
      <c r="O9" t="e">
        <f t="shared" si="5"/>
        <v>#N/A</v>
      </c>
      <c r="P9" s="6" t="e">
        <f>VLOOKUP(Codes!$G$50,Codes!$A$1:$I$41,MATCH(Codes!$I$55,Codes!$A$1:$I$1,))</f>
        <v>#N/A</v>
      </c>
      <c r="Q9">
        <f>Codes!$G$52</f>
        <v>0</v>
      </c>
      <c r="R9">
        <f>Codes!G53</f>
        <v>0</v>
      </c>
      <c r="S9">
        <f t="shared" si="6"/>
        <v>0</v>
      </c>
      <c r="T9">
        <f>Codes!$G$50</f>
        <v>0</v>
      </c>
      <c r="U9">
        <f>Codes!$G$51</f>
        <v>0</v>
      </c>
      <c r="V9" s="6">
        <f>Codes!$C$50</f>
        <v>0</v>
      </c>
      <c r="W9" t="s">
        <v>325</v>
      </c>
      <c r="X9">
        <f>Codes!$B$54</f>
        <v>0</v>
      </c>
      <c r="Y9" t="str">
        <f>'Metric Form'!$D$8</f>
        <v>Cabinetmart Inc</v>
      </c>
      <c r="Z9">
        <f>'Metric Form'!$D$10</f>
        <v>0</v>
      </c>
      <c r="AA9" t="str">
        <f>IF(Codes!$G$54="YES","FINGER PULLS","")</f>
        <v/>
      </c>
      <c r="AB9" t="e">
        <f>IF($E9="Door Style 125","HOGGsNEW",IF(Codes!$G$50="10 600","HOGGsNEW",IF(Codes!$G$50="RILEY","HOGGs","")))</f>
        <v>#N/A</v>
      </c>
      <c r="AC9" t="e">
        <f t="shared" si="7"/>
        <v>#N/A</v>
      </c>
    </row>
    <row r="10" spans="1:29" x14ac:dyDescent="0.15">
      <c r="A10" s="10">
        <f>'Metric Form'!E32</f>
        <v>0</v>
      </c>
      <c r="B10" s="10">
        <f>'Metric Form'!F32</f>
        <v>0</v>
      </c>
      <c r="C10" s="8">
        <f t="shared" si="0"/>
        <v>0</v>
      </c>
      <c r="D10" s="8">
        <f t="shared" si="0"/>
        <v>0</v>
      </c>
      <c r="E10" s="6" t="e">
        <f>VLOOKUP(Codes!$G$50,Codes!$A$2:$L$46,MATCH(Codes!$I$59,Codes!$A$1:$L$1,))</f>
        <v>#N/A</v>
      </c>
      <c r="F10">
        <f>'Metric Form'!D32</f>
        <v>0</v>
      </c>
      <c r="G10">
        <v>1</v>
      </c>
      <c r="H10" s="6" t="e">
        <f>IF(E10="Door Style 214","7000ARCHs",VLOOKUP(Codes!$G$50,Codes!$A$2:$J$41,MATCH(Codes!$I$50,Codes!$A$1:$J$1,)))</f>
        <v>#N/A</v>
      </c>
      <c r="I10" s="6" t="e">
        <f>VLOOKUP(Codes!$G$50,Codes!$A$2:$J$41,MATCH(Codes!$I$51,Codes!$A$1:$J$1,))</f>
        <v>#N/A</v>
      </c>
      <c r="J10" s="6" t="e">
        <f>IF(E10="Door Style 214","7ARCsG",VLOOKUP(Codes!$G$50,Codes!$A$2:$J$41,MATCH(Codes!$I$52,Codes!$A$1:$J$1,)))</f>
        <v>#N/A</v>
      </c>
      <c r="K10" t="e">
        <f t="shared" si="1"/>
        <v>#N/A</v>
      </c>
      <c r="L10" t="e">
        <f t="shared" si="2"/>
        <v>#N/A</v>
      </c>
      <c r="M10" t="e">
        <f t="shared" si="3"/>
        <v>#N/A</v>
      </c>
      <c r="N10" t="e">
        <f t="shared" si="4"/>
        <v>#N/A</v>
      </c>
      <c r="O10" t="e">
        <f t="shared" si="5"/>
        <v>#N/A</v>
      </c>
      <c r="P10" s="6" t="e">
        <f>VLOOKUP(Codes!$G$50,Codes!$A$1:$I$41,MATCH(Codes!$I$55,Codes!$A$1:$I$1,))</f>
        <v>#N/A</v>
      </c>
      <c r="Q10">
        <f>Codes!$G$52</f>
        <v>0</v>
      </c>
      <c r="R10">
        <f>Codes!G53</f>
        <v>0</v>
      </c>
      <c r="S10">
        <f t="shared" si="6"/>
        <v>0</v>
      </c>
      <c r="T10">
        <f>Codes!$G$50</f>
        <v>0</v>
      </c>
      <c r="U10">
        <f>Codes!$G$51</f>
        <v>0</v>
      </c>
      <c r="V10" s="6">
        <f>Codes!$C$50</f>
        <v>0</v>
      </c>
      <c r="W10" t="s">
        <v>325</v>
      </c>
      <c r="X10">
        <f>Codes!$B$54</f>
        <v>0</v>
      </c>
      <c r="Y10" t="str">
        <f>'Metric Form'!$D$8</f>
        <v>Cabinetmart Inc</v>
      </c>
      <c r="Z10">
        <f>'Metric Form'!$D$10</f>
        <v>0</v>
      </c>
      <c r="AA10" t="str">
        <f>IF(Codes!$G$54="YES","FINGER PULLS","")</f>
        <v/>
      </c>
      <c r="AB10" t="e">
        <f>IF($E10="Door Style 125","HOGGsNEW",IF(Codes!$G$50="10 600","HOGGsNEW",IF(Codes!$G$50="RILEY","HOGGs","")))</f>
        <v>#N/A</v>
      </c>
      <c r="AC10" t="e">
        <f t="shared" si="7"/>
        <v>#N/A</v>
      </c>
    </row>
    <row r="11" spans="1:29" x14ac:dyDescent="0.15">
      <c r="A11" s="10">
        <f>'Metric Form'!E33</f>
        <v>0</v>
      </c>
      <c r="B11" s="10">
        <f>'Metric Form'!F33</f>
        <v>0</v>
      </c>
      <c r="C11" s="8">
        <f t="shared" si="0"/>
        <v>0</v>
      </c>
      <c r="D11" s="8">
        <f t="shared" si="0"/>
        <v>0</v>
      </c>
      <c r="E11" s="6" t="e">
        <f>VLOOKUP(Codes!$G$50,Codes!$A$2:$L$46,MATCH(Codes!$I$59,Codes!$A$1:$L$1,))</f>
        <v>#N/A</v>
      </c>
      <c r="F11">
        <f>'Metric Form'!D33</f>
        <v>0</v>
      </c>
      <c r="G11">
        <v>1</v>
      </c>
      <c r="H11" s="6" t="e">
        <f>IF(E11="Door Style 214","7000ARCHs",VLOOKUP(Codes!$G$50,Codes!$A$2:$J$41,MATCH(Codes!$I$50,Codes!$A$1:$J$1,)))</f>
        <v>#N/A</v>
      </c>
      <c r="I11" s="6" t="e">
        <f>VLOOKUP(Codes!$G$50,Codes!$A$2:$J$41,MATCH(Codes!$I$51,Codes!$A$1:$J$1,))</f>
        <v>#N/A</v>
      </c>
      <c r="J11" s="6" t="e">
        <f>IF(E11="Door Style 214","7ARCsG",VLOOKUP(Codes!$G$50,Codes!$A$2:$J$41,MATCH(Codes!$I$52,Codes!$A$1:$J$1,)))</f>
        <v>#N/A</v>
      </c>
      <c r="K11" t="e">
        <f t="shared" si="1"/>
        <v>#N/A</v>
      </c>
      <c r="L11" t="e">
        <f t="shared" si="2"/>
        <v>#N/A</v>
      </c>
      <c r="M11" t="e">
        <f t="shared" si="3"/>
        <v>#N/A</v>
      </c>
      <c r="N11" t="e">
        <f t="shared" si="4"/>
        <v>#N/A</v>
      </c>
      <c r="O11" t="e">
        <f t="shared" si="5"/>
        <v>#N/A</v>
      </c>
      <c r="P11" s="6" t="e">
        <f>VLOOKUP(Codes!$G$50,Codes!$A$1:$I$41,MATCH(Codes!$I$55,Codes!$A$1:$I$1,))</f>
        <v>#N/A</v>
      </c>
      <c r="Q11">
        <f>Codes!$G$52</f>
        <v>0</v>
      </c>
      <c r="R11">
        <f>Codes!G53</f>
        <v>0</v>
      </c>
      <c r="S11">
        <f t="shared" si="6"/>
        <v>0</v>
      </c>
      <c r="T11">
        <f>Codes!$G$50</f>
        <v>0</v>
      </c>
      <c r="U11">
        <f>Codes!$G$51</f>
        <v>0</v>
      </c>
      <c r="V11" s="6">
        <f>Codes!$C$50</f>
        <v>0</v>
      </c>
      <c r="W11" t="s">
        <v>325</v>
      </c>
      <c r="X11">
        <f>Codes!$B$54</f>
        <v>0</v>
      </c>
      <c r="Y11" t="str">
        <f>'Metric Form'!$D$8</f>
        <v>Cabinetmart Inc</v>
      </c>
      <c r="Z11">
        <f>'Metric Form'!$D$10</f>
        <v>0</v>
      </c>
      <c r="AA11" t="str">
        <f>IF(Codes!$G$54="YES","FINGER PULLS","")</f>
        <v/>
      </c>
      <c r="AB11" t="e">
        <f>IF($E11="Door Style 125","HOGGsNEW",IF(Codes!$G$50="10 600","HOGGsNEW",IF(Codes!$G$50="RILEY","HOGGs","")))</f>
        <v>#N/A</v>
      </c>
      <c r="AC11" t="e">
        <f t="shared" si="7"/>
        <v>#N/A</v>
      </c>
    </row>
    <row r="12" spans="1:29" x14ac:dyDescent="0.15">
      <c r="A12" s="10">
        <f>'Metric Form'!E34</f>
        <v>0</v>
      </c>
      <c r="B12" s="10">
        <f>'Metric Form'!F34</f>
        <v>0</v>
      </c>
      <c r="C12" s="8">
        <f t="shared" si="0"/>
        <v>0</v>
      </c>
      <c r="D12" s="8">
        <f t="shared" si="0"/>
        <v>0</v>
      </c>
      <c r="E12" s="6" t="e">
        <f>VLOOKUP(Codes!$G$50,Codes!$A$2:$L$46,MATCH(Codes!$I$59,Codes!$A$1:$L$1,))</f>
        <v>#N/A</v>
      </c>
      <c r="F12">
        <f>'Metric Form'!D34</f>
        <v>0</v>
      </c>
      <c r="G12">
        <v>1</v>
      </c>
      <c r="H12" s="6" t="e">
        <f>IF(E12="Door Style 214","7000ARCHs",VLOOKUP(Codes!$G$50,Codes!$A$2:$J$41,MATCH(Codes!$I$50,Codes!$A$1:$J$1,)))</f>
        <v>#N/A</v>
      </c>
      <c r="I12" s="6" t="e">
        <f>VLOOKUP(Codes!$G$50,Codes!$A$2:$J$41,MATCH(Codes!$I$51,Codes!$A$1:$J$1,))</f>
        <v>#N/A</v>
      </c>
      <c r="J12" s="6" t="e">
        <f>IF(E12="Door Style 214","7ARCsG",VLOOKUP(Codes!$G$50,Codes!$A$2:$J$41,MATCH(Codes!$I$52,Codes!$A$1:$J$1,)))</f>
        <v>#N/A</v>
      </c>
      <c r="K12" t="e">
        <f t="shared" si="1"/>
        <v>#N/A</v>
      </c>
      <c r="L12" t="e">
        <f t="shared" si="2"/>
        <v>#N/A</v>
      </c>
      <c r="M12" t="e">
        <f t="shared" si="3"/>
        <v>#N/A</v>
      </c>
      <c r="N12" t="e">
        <f t="shared" si="4"/>
        <v>#N/A</v>
      </c>
      <c r="O12" t="e">
        <f t="shared" si="5"/>
        <v>#N/A</v>
      </c>
      <c r="P12" s="6" t="e">
        <f>VLOOKUP(Codes!$G$50,Codes!$A$1:$I$41,MATCH(Codes!$I$55,Codes!$A$1:$I$1,))</f>
        <v>#N/A</v>
      </c>
      <c r="Q12">
        <f>Codes!$G$52</f>
        <v>0</v>
      </c>
      <c r="R12">
        <f>Codes!G53</f>
        <v>0</v>
      </c>
      <c r="S12">
        <f t="shared" si="6"/>
        <v>0</v>
      </c>
      <c r="T12">
        <f>Codes!$G$50</f>
        <v>0</v>
      </c>
      <c r="U12">
        <f>Codes!$G$51</f>
        <v>0</v>
      </c>
      <c r="V12" s="6">
        <f>Codes!$C$50</f>
        <v>0</v>
      </c>
      <c r="W12" t="s">
        <v>325</v>
      </c>
      <c r="X12">
        <f>Codes!$B$54</f>
        <v>0</v>
      </c>
      <c r="Y12" t="str">
        <f>'Metric Form'!$D$8</f>
        <v>Cabinetmart Inc</v>
      </c>
      <c r="Z12">
        <f>'Metric Form'!$D$10</f>
        <v>0</v>
      </c>
      <c r="AA12" t="str">
        <f>IF(Codes!$G$54="YES","FINGER PULLS","")</f>
        <v/>
      </c>
      <c r="AB12" t="e">
        <f>IF($E12="Door Style 125","HOGGsNEW",IF(Codes!$G$50="10 600","HOGGsNEW",IF(Codes!$G$50="RILEY","HOGGs","")))</f>
        <v>#N/A</v>
      </c>
      <c r="AC12" t="e">
        <f t="shared" si="7"/>
        <v>#N/A</v>
      </c>
    </row>
    <row r="13" spans="1:29" x14ac:dyDescent="0.15">
      <c r="A13" s="10">
        <f>'Metric Form'!E35</f>
        <v>0</v>
      </c>
      <c r="B13" s="10">
        <f>'Metric Form'!F35</f>
        <v>0</v>
      </c>
      <c r="C13" s="8">
        <f t="shared" si="0"/>
        <v>0</v>
      </c>
      <c r="D13" s="8">
        <f t="shared" si="0"/>
        <v>0</v>
      </c>
      <c r="E13" s="6" t="e">
        <f>VLOOKUP(Codes!$G$50,Codes!$A$2:$L$46,MATCH(Codes!$I$59,Codes!$A$1:$L$1,))</f>
        <v>#N/A</v>
      </c>
      <c r="F13">
        <f>'Metric Form'!D35</f>
        <v>0</v>
      </c>
      <c r="G13">
        <v>1</v>
      </c>
      <c r="H13" s="6" t="e">
        <f>IF(E13="Door Style 214","7000ARCHs",VLOOKUP(Codes!$G$50,Codes!$A$2:$J$41,MATCH(Codes!$I$50,Codes!$A$1:$J$1,)))</f>
        <v>#N/A</v>
      </c>
      <c r="I13" s="6" t="e">
        <f>VLOOKUP(Codes!$G$50,Codes!$A$2:$J$41,MATCH(Codes!$I$51,Codes!$A$1:$J$1,))</f>
        <v>#N/A</v>
      </c>
      <c r="J13" s="6" t="e">
        <f>IF(E13="Door Style 214","7ARCsG",VLOOKUP(Codes!$G$50,Codes!$A$2:$J$41,MATCH(Codes!$I$52,Codes!$A$1:$J$1,)))</f>
        <v>#N/A</v>
      </c>
      <c r="K13" t="e">
        <f t="shared" si="1"/>
        <v>#N/A</v>
      </c>
      <c r="L13" t="e">
        <f t="shared" si="2"/>
        <v>#N/A</v>
      </c>
      <c r="M13" t="e">
        <f t="shared" si="3"/>
        <v>#N/A</v>
      </c>
      <c r="N13" t="e">
        <f t="shared" si="4"/>
        <v>#N/A</v>
      </c>
      <c r="O13" t="e">
        <f t="shared" si="5"/>
        <v>#N/A</v>
      </c>
      <c r="P13" s="6" t="e">
        <f>VLOOKUP(Codes!$G$50,Codes!$A$1:$I$41,MATCH(Codes!$I$55,Codes!$A$1:$I$1,))</f>
        <v>#N/A</v>
      </c>
      <c r="Q13">
        <f>Codes!$G$52</f>
        <v>0</v>
      </c>
      <c r="R13">
        <f>Codes!G53</f>
        <v>0</v>
      </c>
      <c r="S13">
        <f t="shared" si="6"/>
        <v>0</v>
      </c>
      <c r="T13">
        <f>Codes!$G$50</f>
        <v>0</v>
      </c>
      <c r="U13">
        <f>Codes!$G$51</f>
        <v>0</v>
      </c>
      <c r="V13" s="6">
        <f>Codes!$C$50</f>
        <v>0</v>
      </c>
      <c r="W13" t="s">
        <v>325</v>
      </c>
      <c r="X13">
        <f>Codes!$B$54</f>
        <v>0</v>
      </c>
      <c r="Y13" t="str">
        <f>'Metric Form'!$D$8</f>
        <v>Cabinetmart Inc</v>
      </c>
      <c r="Z13">
        <f>'Metric Form'!$D$10</f>
        <v>0</v>
      </c>
      <c r="AA13" t="str">
        <f>IF(Codes!$G$54="YES","FINGER PULLS","")</f>
        <v/>
      </c>
      <c r="AB13" t="e">
        <f>IF($E13="Door Style 125","HOGGsNEW",IF(Codes!$G$50="10 600","HOGGsNEW",IF(Codes!$G$50="RILEY","HOGGs","")))</f>
        <v>#N/A</v>
      </c>
      <c r="AC13" t="e">
        <f t="shared" si="7"/>
        <v>#N/A</v>
      </c>
    </row>
    <row r="14" spans="1:29" x14ac:dyDescent="0.15">
      <c r="A14" s="10">
        <f>'Metric Form'!E36</f>
        <v>0</v>
      </c>
      <c r="B14" s="10">
        <f>'Metric Form'!F36</f>
        <v>0</v>
      </c>
      <c r="C14" s="8">
        <f t="shared" si="0"/>
        <v>0</v>
      </c>
      <c r="D14" s="8">
        <f t="shared" si="0"/>
        <v>0</v>
      </c>
      <c r="E14" s="6" t="e">
        <f>VLOOKUP(Codes!$G$50,Codes!$A$2:$L$46,MATCH(Codes!$I$59,Codes!$A$1:$L$1,))</f>
        <v>#N/A</v>
      </c>
      <c r="F14">
        <f>'Metric Form'!D36</f>
        <v>0</v>
      </c>
      <c r="G14">
        <v>1</v>
      </c>
      <c r="H14" s="6" t="e">
        <f>IF(E14="Door Style 214","7000ARCHs",VLOOKUP(Codes!$G$50,Codes!$A$2:$J$41,MATCH(Codes!$I$50,Codes!$A$1:$J$1,)))</f>
        <v>#N/A</v>
      </c>
      <c r="I14" s="6" t="e">
        <f>VLOOKUP(Codes!$G$50,Codes!$A$2:$J$41,MATCH(Codes!$I$51,Codes!$A$1:$J$1,))</f>
        <v>#N/A</v>
      </c>
      <c r="J14" s="6" t="e">
        <f>IF(E14="Door Style 214","7ARCsG",VLOOKUP(Codes!$G$50,Codes!$A$2:$J$41,MATCH(Codes!$I$52,Codes!$A$1:$J$1,)))</f>
        <v>#N/A</v>
      </c>
      <c r="K14" t="e">
        <f t="shared" si="1"/>
        <v>#N/A</v>
      </c>
      <c r="L14" t="e">
        <f t="shared" si="2"/>
        <v>#N/A</v>
      </c>
      <c r="M14" t="e">
        <f t="shared" si="3"/>
        <v>#N/A</v>
      </c>
      <c r="N14" t="e">
        <f t="shared" si="4"/>
        <v>#N/A</v>
      </c>
      <c r="O14" t="e">
        <f t="shared" si="5"/>
        <v>#N/A</v>
      </c>
      <c r="P14" s="6" t="e">
        <f>VLOOKUP(Codes!$G$50,Codes!$A$1:$I$41,MATCH(Codes!$I$55,Codes!$A$1:$I$1,))</f>
        <v>#N/A</v>
      </c>
      <c r="Q14">
        <f>Codes!$G$52</f>
        <v>0</v>
      </c>
      <c r="R14">
        <f>Codes!G53</f>
        <v>0</v>
      </c>
      <c r="S14">
        <f t="shared" si="6"/>
        <v>0</v>
      </c>
      <c r="T14">
        <f>Codes!$G$50</f>
        <v>0</v>
      </c>
      <c r="U14">
        <f>Codes!$G$51</f>
        <v>0</v>
      </c>
      <c r="V14" s="6">
        <f>Codes!$C$50</f>
        <v>0</v>
      </c>
      <c r="W14" t="s">
        <v>325</v>
      </c>
      <c r="X14">
        <f>Codes!$B$54</f>
        <v>0</v>
      </c>
      <c r="Y14" t="str">
        <f>'Metric Form'!$D$8</f>
        <v>Cabinetmart Inc</v>
      </c>
      <c r="Z14">
        <f>'Metric Form'!$D$10</f>
        <v>0</v>
      </c>
      <c r="AA14" t="str">
        <f>IF(Codes!$G$54="YES","FINGER PULLS","")</f>
        <v/>
      </c>
      <c r="AB14" t="e">
        <f>IF($E14="Door Style 125","HOGGsNEW",IF(Codes!$G$50="10 600","HOGGsNEW",IF(Codes!$G$50="RILEY","HOGGs","")))</f>
        <v>#N/A</v>
      </c>
      <c r="AC14" t="e">
        <f t="shared" si="7"/>
        <v>#N/A</v>
      </c>
    </row>
    <row r="15" spans="1:29" x14ac:dyDescent="0.15">
      <c r="A15" s="10">
        <f>'Metric Form'!E37</f>
        <v>0</v>
      </c>
      <c r="B15" s="10">
        <f>'Metric Form'!F37</f>
        <v>0</v>
      </c>
      <c r="C15" s="8">
        <f t="shared" si="0"/>
        <v>0</v>
      </c>
      <c r="D15" s="8">
        <f t="shared" si="0"/>
        <v>0</v>
      </c>
      <c r="E15" s="6" t="e">
        <f>VLOOKUP(Codes!$G$50,Codes!$A$2:$L$46,MATCH(Codes!$I$59,Codes!$A$1:$L$1,))</f>
        <v>#N/A</v>
      </c>
      <c r="F15">
        <f>'Metric Form'!D37</f>
        <v>0</v>
      </c>
      <c r="G15">
        <v>1</v>
      </c>
      <c r="H15" s="6" t="e">
        <f>IF(E15="Door Style 214","7000ARCHs",VLOOKUP(Codes!$G$50,Codes!$A$2:$J$41,MATCH(Codes!$I$50,Codes!$A$1:$J$1,)))</f>
        <v>#N/A</v>
      </c>
      <c r="I15" s="6" t="e">
        <f>VLOOKUP(Codes!$G$50,Codes!$A$2:$J$41,MATCH(Codes!$I$51,Codes!$A$1:$J$1,))</f>
        <v>#N/A</v>
      </c>
      <c r="J15" s="6" t="e">
        <f>IF(E15="Door Style 214","7ARCsG",VLOOKUP(Codes!$G$50,Codes!$A$2:$J$41,MATCH(Codes!$I$52,Codes!$A$1:$J$1,)))</f>
        <v>#N/A</v>
      </c>
      <c r="K15" t="e">
        <f t="shared" si="1"/>
        <v>#N/A</v>
      </c>
      <c r="L15" t="e">
        <f t="shared" si="2"/>
        <v>#N/A</v>
      </c>
      <c r="M15" t="e">
        <f t="shared" si="3"/>
        <v>#N/A</v>
      </c>
      <c r="N15" t="e">
        <f t="shared" si="4"/>
        <v>#N/A</v>
      </c>
      <c r="O15" t="e">
        <f t="shared" si="5"/>
        <v>#N/A</v>
      </c>
      <c r="P15" s="6" t="e">
        <f>VLOOKUP(Codes!$G$50,Codes!$A$1:$I$41,MATCH(Codes!$I$55,Codes!$A$1:$I$1,))</f>
        <v>#N/A</v>
      </c>
      <c r="Q15">
        <f>Codes!$G$52</f>
        <v>0</v>
      </c>
      <c r="R15">
        <f>Codes!G53</f>
        <v>0</v>
      </c>
      <c r="S15">
        <f t="shared" si="6"/>
        <v>0</v>
      </c>
      <c r="T15">
        <f>Codes!$G$50</f>
        <v>0</v>
      </c>
      <c r="U15">
        <f>Codes!$G$51</f>
        <v>0</v>
      </c>
      <c r="V15" s="6">
        <f>Codes!$C$50</f>
        <v>0</v>
      </c>
      <c r="W15" t="s">
        <v>325</v>
      </c>
      <c r="X15">
        <f>Codes!$B$54</f>
        <v>0</v>
      </c>
      <c r="Y15" t="str">
        <f>'Metric Form'!$D$8</f>
        <v>Cabinetmart Inc</v>
      </c>
      <c r="Z15">
        <f>'Metric Form'!$D$10</f>
        <v>0</v>
      </c>
      <c r="AA15" t="str">
        <f>IF(Codes!$G$54="YES","FINGER PULLS","")</f>
        <v/>
      </c>
      <c r="AB15" t="e">
        <f>IF($E15="Door Style 125","HOGGsNEW",IF(Codes!$G$50="10 600","HOGGsNEW",IF(Codes!$G$50="RILEY","HOGGs","")))</f>
        <v>#N/A</v>
      </c>
      <c r="AC15" t="e">
        <f t="shared" si="7"/>
        <v>#N/A</v>
      </c>
    </row>
    <row r="16" spans="1:29" x14ac:dyDescent="0.15">
      <c r="A16" s="10">
        <f>'Metric Form'!E38</f>
        <v>0</v>
      </c>
      <c r="B16" s="10">
        <f>'Metric Form'!F38</f>
        <v>0</v>
      </c>
      <c r="C16" s="8">
        <f t="shared" si="0"/>
        <v>0</v>
      </c>
      <c r="D16" s="8">
        <f t="shared" si="0"/>
        <v>0</v>
      </c>
      <c r="E16" s="6" t="e">
        <f>VLOOKUP(Codes!$G$50,Codes!$A$2:$L$46,MATCH(Codes!$I$59,Codes!$A$1:$L$1,))</f>
        <v>#N/A</v>
      </c>
      <c r="F16">
        <f>'Metric Form'!D38</f>
        <v>0</v>
      </c>
      <c r="G16">
        <v>1</v>
      </c>
      <c r="H16" s="6" t="e">
        <f>IF(E16="Door Style 214","7000ARCHs",VLOOKUP(Codes!$G$50,Codes!$A$2:$J$41,MATCH(Codes!$I$50,Codes!$A$1:$J$1,)))</f>
        <v>#N/A</v>
      </c>
      <c r="I16" s="6" t="e">
        <f>VLOOKUP(Codes!$G$50,Codes!$A$2:$J$41,MATCH(Codes!$I$51,Codes!$A$1:$J$1,))</f>
        <v>#N/A</v>
      </c>
      <c r="J16" s="6" t="e">
        <f>IF(E16="Door Style 214","7ARCsG",VLOOKUP(Codes!$G$50,Codes!$A$2:$J$41,MATCH(Codes!$I$52,Codes!$A$1:$J$1,)))</f>
        <v>#N/A</v>
      </c>
      <c r="K16" t="e">
        <f t="shared" si="1"/>
        <v>#N/A</v>
      </c>
      <c r="L16" t="e">
        <f t="shared" si="2"/>
        <v>#N/A</v>
      </c>
      <c r="M16" t="e">
        <f t="shared" si="3"/>
        <v>#N/A</v>
      </c>
      <c r="N16" t="e">
        <f t="shared" si="4"/>
        <v>#N/A</v>
      </c>
      <c r="O16" t="e">
        <f t="shared" si="5"/>
        <v>#N/A</v>
      </c>
      <c r="P16" s="6" t="e">
        <f>VLOOKUP(Codes!$G$50,Codes!$A$1:$I$41,MATCH(Codes!$I$55,Codes!$A$1:$I$1,))</f>
        <v>#N/A</v>
      </c>
      <c r="Q16">
        <f>Codes!$G$52</f>
        <v>0</v>
      </c>
      <c r="R16">
        <f>Codes!G53</f>
        <v>0</v>
      </c>
      <c r="S16">
        <f t="shared" si="6"/>
        <v>0</v>
      </c>
      <c r="T16">
        <f>Codes!$G$50</f>
        <v>0</v>
      </c>
      <c r="U16">
        <f>Codes!$G$51</f>
        <v>0</v>
      </c>
      <c r="V16" s="6">
        <f>Codes!$C$50</f>
        <v>0</v>
      </c>
      <c r="W16" t="s">
        <v>325</v>
      </c>
      <c r="X16">
        <f>Codes!$B$54</f>
        <v>0</v>
      </c>
      <c r="Y16" t="str">
        <f>'Metric Form'!$D$8</f>
        <v>Cabinetmart Inc</v>
      </c>
      <c r="Z16">
        <f>'Metric Form'!$D$10</f>
        <v>0</v>
      </c>
      <c r="AA16" t="str">
        <f>IF(Codes!$G$54="YES","FINGER PULLS","")</f>
        <v/>
      </c>
      <c r="AB16" t="e">
        <f>IF($E16="Door Style 125","HOGGsNEW",IF(Codes!$G$50="10 600","HOGGsNEW",IF(Codes!$G$50="RILEY","HOGGs","")))</f>
        <v>#N/A</v>
      </c>
      <c r="AC16" t="e">
        <f t="shared" si="7"/>
        <v>#N/A</v>
      </c>
    </row>
    <row r="17" spans="1:29" x14ac:dyDescent="0.15">
      <c r="C17" s="8"/>
      <c r="D17" s="8"/>
      <c r="H17" s="6"/>
      <c r="I17" s="6"/>
      <c r="J17" s="6"/>
      <c r="P17" s="6"/>
    </row>
    <row r="18" spans="1:29" x14ac:dyDescent="0.15">
      <c r="A18" s="10">
        <f>'Metric Form'!K24</f>
        <v>0</v>
      </c>
      <c r="B18" s="10">
        <f>'Metric Form'!L24</f>
        <v>0</v>
      </c>
      <c r="C18" s="8">
        <f>A18</f>
        <v>0</v>
      </c>
      <c r="D18" s="8">
        <f>B18</f>
        <v>0</v>
      </c>
      <c r="E18" s="6" t="e">
        <f>VLOOKUP(Codes!$G$50,Codes!$A$2:$L$46,MATCH(Codes!$I$60,Codes!$A$1:$L$1,))</f>
        <v>#N/A</v>
      </c>
      <c r="F18">
        <f>'Metric Form'!J24</f>
        <v>0</v>
      </c>
      <c r="G18">
        <v>1</v>
      </c>
      <c r="H18" s="6" t="e">
        <f>IF(E18="Door Style 214","7000ARCHs",VLOOKUP(Codes!$G$50,Codes!$A$2:$J$41,MATCH(Codes!$I$50,Codes!$A$1:$J$1,)))</f>
        <v>#N/A</v>
      </c>
      <c r="I18" s="6" t="e">
        <f>VLOOKUP(Codes!$G$50,Codes!$A$2:$J$41,MATCH(Codes!$I$51,Codes!$A$1:$J$1,))</f>
        <v>#N/A</v>
      </c>
      <c r="J18" s="6" t="e">
        <f>IF(E18="Door Style 214","7ARCsG",VLOOKUP(Codes!$G$50,Codes!$A$2:$J$41,MATCH(Codes!$I$52,Codes!$A$1:$J$1,)))</f>
        <v>#N/A</v>
      </c>
      <c r="K18" t="e">
        <f t="shared" si="1"/>
        <v>#N/A</v>
      </c>
      <c r="L18" t="e">
        <f t="shared" si="2"/>
        <v>#N/A</v>
      </c>
      <c r="M18" t="e">
        <f t="shared" si="3"/>
        <v>#N/A</v>
      </c>
      <c r="N18" t="e">
        <f t="shared" si="4"/>
        <v>#N/A</v>
      </c>
      <c r="O18" t="e">
        <f t="shared" si="5"/>
        <v>#N/A</v>
      </c>
      <c r="P18" s="6" t="e">
        <f>VLOOKUP(Codes!$G$50,Codes!$A$1:$I$41,MATCH(Codes!$I$55,Codes!$A$1:$I$1,))</f>
        <v>#N/A</v>
      </c>
      <c r="Q18">
        <f>Codes!$G$52</f>
        <v>0</v>
      </c>
      <c r="R18">
        <f>Codes!G53</f>
        <v>0</v>
      </c>
      <c r="S18">
        <f t="shared" si="6"/>
        <v>0</v>
      </c>
      <c r="T18">
        <f>Codes!$G$50</f>
        <v>0</v>
      </c>
      <c r="U18">
        <f>Codes!$G$51</f>
        <v>0</v>
      </c>
      <c r="V18">
        <f>Codes!$C$51</f>
        <v>0</v>
      </c>
      <c r="W18" t="s">
        <v>326</v>
      </c>
      <c r="X18">
        <f>Codes!$B$54</f>
        <v>0</v>
      </c>
      <c r="Y18" t="str">
        <f>'Metric Form'!$D$8</f>
        <v>Cabinetmart Inc</v>
      </c>
      <c r="Z18">
        <f>'Metric Form'!$D$10</f>
        <v>0</v>
      </c>
      <c r="AA18" t="str">
        <f>IF(Codes!$G$54="YES","FINGER PULLS","")</f>
        <v/>
      </c>
      <c r="AB18" t="e">
        <f>IF($E18="Door Style 125","HOGGsNEW",IF(Codes!$G$50="10 600","HOGGsNEW",IF(Codes!$G$50="RILEY","HOGGs","")))</f>
        <v>#N/A</v>
      </c>
      <c r="AC18" t="e">
        <f t="shared" si="7"/>
        <v>#N/A</v>
      </c>
    </row>
    <row r="19" spans="1:29" x14ac:dyDescent="0.15">
      <c r="A19" s="10">
        <f>'Metric Form'!K25</f>
        <v>0</v>
      </c>
      <c r="B19" s="10">
        <f>'Metric Form'!L25</f>
        <v>0</v>
      </c>
      <c r="C19" s="8">
        <f t="shared" ref="C19:D32" si="8">A19</f>
        <v>0</v>
      </c>
      <c r="D19" s="8">
        <f t="shared" si="8"/>
        <v>0</v>
      </c>
      <c r="E19" s="6" t="e">
        <f>VLOOKUP(Codes!$G$50,Codes!$A$2:$L$46,MATCH(Codes!$I$60,Codes!$A$1:$L$1,))</f>
        <v>#N/A</v>
      </c>
      <c r="F19">
        <f>'Metric Form'!J25</f>
        <v>0</v>
      </c>
      <c r="G19">
        <v>1</v>
      </c>
      <c r="H19" s="6" t="e">
        <f>IF(E19="Door Style 214","7000ARCHs",VLOOKUP(Codes!$G$50,Codes!$A$2:$J$41,MATCH(Codes!$I$50,Codes!$A$1:$J$1,)))</f>
        <v>#N/A</v>
      </c>
      <c r="I19" s="6" t="e">
        <f>VLOOKUP(Codes!$G$50,Codes!$A$2:$J$41,MATCH(Codes!$I$51,Codes!$A$1:$J$1,))</f>
        <v>#N/A</v>
      </c>
      <c r="J19" s="6" t="e">
        <f>IF(E19="Door Style 214","7ARCsG",VLOOKUP(Codes!$G$50,Codes!$A$2:$J$41,MATCH(Codes!$I$52,Codes!$A$1:$J$1,)))</f>
        <v>#N/A</v>
      </c>
      <c r="K19" t="e">
        <f t="shared" si="1"/>
        <v>#N/A</v>
      </c>
      <c r="L19" t="e">
        <f t="shared" si="2"/>
        <v>#N/A</v>
      </c>
      <c r="M19" t="e">
        <f t="shared" si="3"/>
        <v>#N/A</v>
      </c>
      <c r="N19" t="e">
        <f t="shared" si="4"/>
        <v>#N/A</v>
      </c>
      <c r="O19" t="e">
        <f t="shared" si="5"/>
        <v>#N/A</v>
      </c>
      <c r="P19" s="6" t="e">
        <f>VLOOKUP(Codes!$G$50,Codes!$A$1:$I$41,MATCH(Codes!$I$55,Codes!$A$1:$I$1,))</f>
        <v>#N/A</v>
      </c>
      <c r="Q19">
        <f>Codes!$G$52</f>
        <v>0</v>
      </c>
      <c r="R19">
        <f>Codes!G53</f>
        <v>0</v>
      </c>
      <c r="S19">
        <f t="shared" si="6"/>
        <v>0</v>
      </c>
      <c r="T19">
        <f>Codes!$G$50</f>
        <v>0</v>
      </c>
      <c r="U19">
        <f>Codes!$G$51</f>
        <v>0</v>
      </c>
      <c r="V19">
        <f>Codes!$C$51</f>
        <v>0</v>
      </c>
      <c r="W19" t="s">
        <v>326</v>
      </c>
      <c r="X19">
        <f>Codes!$B$54</f>
        <v>0</v>
      </c>
      <c r="Y19" t="str">
        <f>'Metric Form'!$D$8</f>
        <v>Cabinetmart Inc</v>
      </c>
      <c r="Z19">
        <f>'Metric Form'!$D$10</f>
        <v>0</v>
      </c>
      <c r="AA19" t="str">
        <f>IF(Codes!$G$54="YES","FINGER PULLS","")</f>
        <v/>
      </c>
      <c r="AB19" t="e">
        <f>IF($E19="Door Style 125","HOGGsNEW",IF(Codes!$G$50="10 600","HOGGsNEW",IF(Codes!$G$50="RILEY","HOGGs","")))</f>
        <v>#N/A</v>
      </c>
      <c r="AC19" t="e">
        <f t="shared" si="7"/>
        <v>#N/A</v>
      </c>
    </row>
    <row r="20" spans="1:29" x14ac:dyDescent="0.15">
      <c r="A20" s="10">
        <f>'Metric Form'!K26</f>
        <v>0</v>
      </c>
      <c r="B20" s="10">
        <f>'Metric Form'!L26</f>
        <v>0</v>
      </c>
      <c r="C20" s="8">
        <f t="shared" si="8"/>
        <v>0</v>
      </c>
      <c r="D20" s="8">
        <f t="shared" si="8"/>
        <v>0</v>
      </c>
      <c r="E20" s="6" t="e">
        <f>VLOOKUP(Codes!$G$50,Codes!$A$2:$L$46,MATCH(Codes!$I$60,Codes!$A$1:$L$1,))</f>
        <v>#N/A</v>
      </c>
      <c r="F20">
        <f>'Metric Form'!J26</f>
        <v>0</v>
      </c>
      <c r="G20">
        <v>1</v>
      </c>
      <c r="H20" s="6" t="e">
        <f>IF(E20="Door Style 214","7000ARCHs",VLOOKUP(Codes!$G$50,Codes!$A$2:$J$41,MATCH(Codes!$I$50,Codes!$A$1:$J$1,)))</f>
        <v>#N/A</v>
      </c>
      <c r="I20" s="6" t="e">
        <f>VLOOKUP(Codes!$G$50,Codes!$A$2:$J$41,MATCH(Codes!$I$51,Codes!$A$1:$J$1,))</f>
        <v>#N/A</v>
      </c>
      <c r="J20" s="6" t="e">
        <f>IF(E20="Door Style 214","7ARCsG",VLOOKUP(Codes!$G$50,Codes!$A$2:$J$41,MATCH(Codes!$I$52,Codes!$A$1:$J$1,)))</f>
        <v>#N/A</v>
      </c>
      <c r="K20" t="e">
        <f t="shared" si="1"/>
        <v>#N/A</v>
      </c>
      <c r="L20" t="e">
        <f t="shared" si="2"/>
        <v>#N/A</v>
      </c>
      <c r="M20" t="e">
        <f t="shared" si="3"/>
        <v>#N/A</v>
      </c>
      <c r="N20" t="e">
        <f t="shared" si="4"/>
        <v>#N/A</v>
      </c>
      <c r="O20" t="e">
        <f t="shared" si="5"/>
        <v>#N/A</v>
      </c>
      <c r="P20" s="6" t="e">
        <f>VLOOKUP(Codes!$G$50,Codes!$A$1:$I$41,MATCH(Codes!$I$55,Codes!$A$1:$I$1,))</f>
        <v>#N/A</v>
      </c>
      <c r="Q20">
        <f>Codes!$G$52</f>
        <v>0</v>
      </c>
      <c r="R20">
        <f>Codes!G53</f>
        <v>0</v>
      </c>
      <c r="S20">
        <f t="shared" si="6"/>
        <v>0</v>
      </c>
      <c r="T20">
        <f>Codes!$G$50</f>
        <v>0</v>
      </c>
      <c r="U20">
        <f>Codes!$G$51</f>
        <v>0</v>
      </c>
      <c r="V20">
        <f>Codes!$C$51</f>
        <v>0</v>
      </c>
      <c r="W20" t="s">
        <v>326</v>
      </c>
      <c r="X20">
        <f>Codes!$B$54</f>
        <v>0</v>
      </c>
      <c r="Y20" t="str">
        <f>'Metric Form'!$D$8</f>
        <v>Cabinetmart Inc</v>
      </c>
      <c r="Z20">
        <f>'Metric Form'!$D$10</f>
        <v>0</v>
      </c>
      <c r="AA20" t="str">
        <f>IF(Codes!$G$54="YES","FINGER PULLS","")</f>
        <v/>
      </c>
      <c r="AB20" t="e">
        <f>IF($E20="Door Style 125","HOGGsNEW",IF(Codes!$G$50="10 600","HOGGsNEW",IF(Codes!$G$50="RILEY","HOGGs","")))</f>
        <v>#N/A</v>
      </c>
      <c r="AC20" t="e">
        <f t="shared" si="7"/>
        <v>#N/A</v>
      </c>
    </row>
    <row r="21" spans="1:29" x14ac:dyDescent="0.15">
      <c r="A21" s="10">
        <f>'Metric Form'!K27</f>
        <v>0</v>
      </c>
      <c r="B21" s="10">
        <f>'Metric Form'!L27</f>
        <v>0</v>
      </c>
      <c r="C21" s="8">
        <f t="shared" si="8"/>
        <v>0</v>
      </c>
      <c r="D21" s="8">
        <f t="shared" si="8"/>
        <v>0</v>
      </c>
      <c r="E21" s="6" t="e">
        <f>VLOOKUP(Codes!$G$50,Codes!$A$2:$L$46,MATCH(Codes!$I$60,Codes!$A$1:$L$1,))</f>
        <v>#N/A</v>
      </c>
      <c r="F21">
        <f>'Metric Form'!J27</f>
        <v>0</v>
      </c>
      <c r="G21">
        <v>1</v>
      </c>
      <c r="H21" s="6" t="e">
        <f>IF(E21="Door Style 214","7000ARCHs",VLOOKUP(Codes!$G$50,Codes!$A$2:$J$41,MATCH(Codes!$I$50,Codes!$A$1:$J$1,)))</f>
        <v>#N/A</v>
      </c>
      <c r="I21" s="6" t="e">
        <f>VLOOKUP(Codes!$G$50,Codes!$A$2:$J$41,MATCH(Codes!$I$51,Codes!$A$1:$J$1,))</f>
        <v>#N/A</v>
      </c>
      <c r="J21" s="6" t="e">
        <f>IF(E21="Door Style 214","7ARCsG",VLOOKUP(Codes!$G$50,Codes!$A$2:$J$41,MATCH(Codes!$I$52,Codes!$A$1:$J$1,)))</f>
        <v>#N/A</v>
      </c>
      <c r="K21" t="e">
        <f t="shared" si="1"/>
        <v>#N/A</v>
      </c>
      <c r="L21" t="e">
        <f t="shared" si="2"/>
        <v>#N/A</v>
      </c>
      <c r="M21" t="e">
        <f t="shared" si="3"/>
        <v>#N/A</v>
      </c>
      <c r="N21" t="e">
        <f t="shared" si="4"/>
        <v>#N/A</v>
      </c>
      <c r="O21" t="e">
        <f t="shared" si="5"/>
        <v>#N/A</v>
      </c>
      <c r="P21" s="6" t="e">
        <f>VLOOKUP(Codes!$G$50,Codes!$A$1:$I$41,MATCH(Codes!$I$55,Codes!$A$1:$I$1,))</f>
        <v>#N/A</v>
      </c>
      <c r="Q21">
        <f>Codes!$G$52</f>
        <v>0</v>
      </c>
      <c r="R21">
        <f>Codes!G53</f>
        <v>0</v>
      </c>
      <c r="S21">
        <f t="shared" si="6"/>
        <v>0</v>
      </c>
      <c r="T21">
        <f>Codes!$G$50</f>
        <v>0</v>
      </c>
      <c r="U21">
        <f>Codes!$G$51</f>
        <v>0</v>
      </c>
      <c r="V21">
        <f>Codes!$C$51</f>
        <v>0</v>
      </c>
      <c r="W21" t="s">
        <v>326</v>
      </c>
      <c r="X21">
        <f>Codes!$B$54</f>
        <v>0</v>
      </c>
      <c r="Y21" t="str">
        <f>'Metric Form'!$D$8</f>
        <v>Cabinetmart Inc</v>
      </c>
      <c r="Z21">
        <f>'Metric Form'!$D$10</f>
        <v>0</v>
      </c>
      <c r="AA21" t="str">
        <f>IF(Codes!$G$54="YES","FINGER PULLS","")</f>
        <v/>
      </c>
      <c r="AB21" t="e">
        <f>IF($E21="Door Style 125","HOGGsNEW",IF(Codes!$G$50="10 600","HOGGsNEW",IF(Codes!$G$50="RILEY","HOGGs","")))</f>
        <v>#N/A</v>
      </c>
      <c r="AC21" t="e">
        <f t="shared" si="7"/>
        <v>#N/A</v>
      </c>
    </row>
    <row r="22" spans="1:29" x14ac:dyDescent="0.15">
      <c r="A22" s="10">
        <f>'Metric Form'!K28</f>
        <v>0</v>
      </c>
      <c r="B22" s="10">
        <f>'Metric Form'!L28</f>
        <v>0</v>
      </c>
      <c r="C22" s="8">
        <f t="shared" si="8"/>
        <v>0</v>
      </c>
      <c r="D22" s="8">
        <f t="shared" si="8"/>
        <v>0</v>
      </c>
      <c r="E22" s="6" t="e">
        <f>VLOOKUP(Codes!$G$50,Codes!$A$2:$L$46,MATCH(Codes!$I$60,Codes!$A$1:$L$1,))</f>
        <v>#N/A</v>
      </c>
      <c r="F22">
        <f>'Metric Form'!J28</f>
        <v>0</v>
      </c>
      <c r="G22">
        <v>1</v>
      </c>
      <c r="H22" s="6" t="e">
        <f>IF(E22="Door Style 214","7000ARCHs",VLOOKUP(Codes!$G$50,Codes!$A$2:$J$41,MATCH(Codes!$I$50,Codes!$A$1:$J$1,)))</f>
        <v>#N/A</v>
      </c>
      <c r="I22" s="6" t="e">
        <f>VLOOKUP(Codes!$G$50,Codes!$A$2:$J$41,MATCH(Codes!$I$51,Codes!$A$1:$J$1,))</f>
        <v>#N/A</v>
      </c>
      <c r="J22" s="6" t="e">
        <f>IF(E22="Door Style 214","7ARCsG",VLOOKUP(Codes!$G$50,Codes!$A$2:$J$41,MATCH(Codes!$I$52,Codes!$A$1:$J$1,)))</f>
        <v>#N/A</v>
      </c>
      <c r="K22" t="e">
        <f t="shared" si="1"/>
        <v>#N/A</v>
      </c>
      <c r="L22" t="e">
        <f t="shared" si="2"/>
        <v>#N/A</v>
      </c>
      <c r="M22" t="e">
        <f t="shared" si="3"/>
        <v>#N/A</v>
      </c>
      <c r="N22" t="e">
        <f t="shared" si="4"/>
        <v>#N/A</v>
      </c>
      <c r="O22" t="e">
        <f t="shared" si="5"/>
        <v>#N/A</v>
      </c>
      <c r="P22" s="6" t="e">
        <f>VLOOKUP(Codes!$G$50,Codes!$A$1:$I$41,MATCH(Codes!$I$55,Codes!$A$1:$I$1,))</f>
        <v>#N/A</v>
      </c>
      <c r="Q22">
        <f>Codes!$G$52</f>
        <v>0</v>
      </c>
      <c r="R22">
        <f>Codes!G53</f>
        <v>0</v>
      </c>
      <c r="S22">
        <f t="shared" si="6"/>
        <v>0</v>
      </c>
      <c r="T22">
        <f>Codes!$G$50</f>
        <v>0</v>
      </c>
      <c r="U22">
        <f>Codes!$G$51</f>
        <v>0</v>
      </c>
      <c r="V22">
        <f>Codes!$C$51</f>
        <v>0</v>
      </c>
      <c r="W22" t="s">
        <v>326</v>
      </c>
      <c r="X22">
        <f>Codes!$B$54</f>
        <v>0</v>
      </c>
      <c r="Y22" t="str">
        <f>'Metric Form'!$D$8</f>
        <v>Cabinetmart Inc</v>
      </c>
      <c r="Z22">
        <f>'Metric Form'!$D$10</f>
        <v>0</v>
      </c>
      <c r="AA22" t="str">
        <f>IF(Codes!$G$54="YES","FINGER PULLS","")</f>
        <v/>
      </c>
      <c r="AB22" t="e">
        <f>IF($E22="Door Style 125","HOGGsNEW",IF(Codes!$G$50="10 600","HOGGsNEW",IF(Codes!$G$50="RILEY","HOGGs","")))</f>
        <v>#N/A</v>
      </c>
      <c r="AC22" t="e">
        <f t="shared" si="7"/>
        <v>#N/A</v>
      </c>
    </row>
    <row r="23" spans="1:29" x14ac:dyDescent="0.15">
      <c r="A23" s="10">
        <f>'Metric Form'!K29</f>
        <v>0</v>
      </c>
      <c r="B23" s="10">
        <f>'Metric Form'!L29</f>
        <v>0</v>
      </c>
      <c r="C23" s="8">
        <f t="shared" si="8"/>
        <v>0</v>
      </c>
      <c r="D23" s="8">
        <f t="shared" si="8"/>
        <v>0</v>
      </c>
      <c r="E23" s="6" t="e">
        <f>VLOOKUP(Codes!$G$50,Codes!$A$2:$L$46,MATCH(Codes!$I$60,Codes!$A$1:$L$1,))</f>
        <v>#N/A</v>
      </c>
      <c r="F23">
        <f>'Metric Form'!J29</f>
        <v>0</v>
      </c>
      <c r="G23">
        <v>1</v>
      </c>
      <c r="H23" s="6" t="e">
        <f>IF(E23="Door Style 214","7000ARCHs",VLOOKUP(Codes!$G$50,Codes!$A$2:$J$41,MATCH(Codes!$I$50,Codes!$A$1:$J$1,)))</f>
        <v>#N/A</v>
      </c>
      <c r="I23" s="6" t="e">
        <f>VLOOKUP(Codes!$G$50,Codes!$A$2:$J$41,MATCH(Codes!$I$51,Codes!$A$1:$J$1,))</f>
        <v>#N/A</v>
      </c>
      <c r="J23" s="6" t="e">
        <f>IF(E23="Door Style 214","7ARCsG",VLOOKUP(Codes!$G$50,Codes!$A$2:$J$41,MATCH(Codes!$I$52,Codes!$A$1:$J$1,)))</f>
        <v>#N/A</v>
      </c>
      <c r="K23" t="e">
        <f t="shared" si="1"/>
        <v>#N/A</v>
      </c>
      <c r="L23" t="e">
        <f t="shared" si="2"/>
        <v>#N/A</v>
      </c>
      <c r="M23" t="e">
        <f t="shared" si="3"/>
        <v>#N/A</v>
      </c>
      <c r="N23" t="e">
        <f t="shared" si="4"/>
        <v>#N/A</v>
      </c>
      <c r="O23" t="e">
        <f t="shared" si="5"/>
        <v>#N/A</v>
      </c>
      <c r="P23" s="6" t="e">
        <f>VLOOKUP(Codes!$G$50,Codes!$A$1:$I$41,MATCH(Codes!$I$55,Codes!$A$1:$I$1,))</f>
        <v>#N/A</v>
      </c>
      <c r="Q23">
        <f>Codes!$G$52</f>
        <v>0</v>
      </c>
      <c r="R23">
        <f>Codes!G53</f>
        <v>0</v>
      </c>
      <c r="S23">
        <f t="shared" si="6"/>
        <v>0</v>
      </c>
      <c r="T23">
        <f>Codes!$G$50</f>
        <v>0</v>
      </c>
      <c r="U23">
        <f>Codes!$G$51</f>
        <v>0</v>
      </c>
      <c r="V23">
        <f>Codes!$C$51</f>
        <v>0</v>
      </c>
      <c r="W23" t="s">
        <v>326</v>
      </c>
      <c r="X23">
        <f>Codes!$B$54</f>
        <v>0</v>
      </c>
      <c r="Y23" t="str">
        <f>'Metric Form'!$D$8</f>
        <v>Cabinetmart Inc</v>
      </c>
      <c r="Z23">
        <f>'Metric Form'!$D$10</f>
        <v>0</v>
      </c>
      <c r="AA23" t="str">
        <f>IF(Codes!$G$54="YES","FINGER PULLS","")</f>
        <v/>
      </c>
      <c r="AB23" t="e">
        <f>IF($E23="Door Style 125","HOGGsNEW",IF(Codes!$G$50="10 600","HOGGsNEW",IF(Codes!$G$50="RILEY","HOGGs","")))</f>
        <v>#N/A</v>
      </c>
      <c r="AC23" t="e">
        <f t="shared" si="7"/>
        <v>#N/A</v>
      </c>
    </row>
    <row r="24" spans="1:29" x14ac:dyDescent="0.15">
      <c r="A24" s="10">
        <f>'Metric Form'!K30</f>
        <v>0</v>
      </c>
      <c r="B24" s="10">
        <f>'Metric Form'!L30</f>
        <v>0</v>
      </c>
      <c r="C24" s="8">
        <f t="shared" si="8"/>
        <v>0</v>
      </c>
      <c r="D24" s="8">
        <f t="shared" si="8"/>
        <v>0</v>
      </c>
      <c r="E24" s="6" t="e">
        <f>VLOOKUP(Codes!$G$50,Codes!$A$2:$L$46,MATCH(Codes!$I$60,Codes!$A$1:$L$1,))</f>
        <v>#N/A</v>
      </c>
      <c r="F24">
        <f>'Metric Form'!J30</f>
        <v>0</v>
      </c>
      <c r="G24">
        <v>1</v>
      </c>
      <c r="H24" s="6" t="e">
        <f>IF(E24="Door Style 214","7000ARCHs",VLOOKUP(Codes!$G$50,Codes!$A$2:$J$41,MATCH(Codes!$I$50,Codes!$A$1:$J$1,)))</f>
        <v>#N/A</v>
      </c>
      <c r="I24" s="6" t="e">
        <f>VLOOKUP(Codes!$G$50,Codes!$A$2:$J$41,MATCH(Codes!$I$51,Codes!$A$1:$J$1,))</f>
        <v>#N/A</v>
      </c>
      <c r="J24" s="6" t="e">
        <f>IF(E24="Door Style 214","7ARCsG",VLOOKUP(Codes!$G$50,Codes!$A$2:$J$41,MATCH(Codes!$I$52,Codes!$A$1:$J$1,)))</f>
        <v>#N/A</v>
      </c>
      <c r="K24" t="e">
        <f t="shared" si="1"/>
        <v>#N/A</v>
      </c>
      <c r="L24" t="e">
        <f t="shared" si="2"/>
        <v>#N/A</v>
      </c>
      <c r="M24" t="e">
        <f t="shared" si="3"/>
        <v>#N/A</v>
      </c>
      <c r="N24" t="e">
        <f t="shared" si="4"/>
        <v>#N/A</v>
      </c>
      <c r="O24" t="e">
        <f t="shared" si="5"/>
        <v>#N/A</v>
      </c>
      <c r="P24" s="6" t="e">
        <f>VLOOKUP(Codes!$G$50,Codes!$A$1:$I$41,MATCH(Codes!$I$55,Codes!$A$1:$I$1,))</f>
        <v>#N/A</v>
      </c>
      <c r="Q24">
        <f>Codes!$G$52</f>
        <v>0</v>
      </c>
      <c r="R24">
        <f>Codes!G53</f>
        <v>0</v>
      </c>
      <c r="S24">
        <f t="shared" si="6"/>
        <v>0</v>
      </c>
      <c r="T24">
        <f>Codes!$G$50</f>
        <v>0</v>
      </c>
      <c r="U24">
        <f>Codes!$G$51</f>
        <v>0</v>
      </c>
      <c r="V24">
        <f>Codes!$C$51</f>
        <v>0</v>
      </c>
      <c r="W24" t="s">
        <v>326</v>
      </c>
      <c r="X24">
        <f>Codes!$B$54</f>
        <v>0</v>
      </c>
      <c r="Y24" t="str">
        <f>'Metric Form'!$D$8</f>
        <v>Cabinetmart Inc</v>
      </c>
      <c r="Z24">
        <f>'Metric Form'!$D$10</f>
        <v>0</v>
      </c>
      <c r="AA24" t="str">
        <f>IF(Codes!$G$54="YES","FINGER PULLS","")</f>
        <v/>
      </c>
      <c r="AB24" t="e">
        <f>IF($E24="Door Style 125","HOGGsNEW",IF(Codes!$G$50="10 600","HOGGsNEW",IF(Codes!$G$50="RILEY","HOGGs","")))</f>
        <v>#N/A</v>
      </c>
      <c r="AC24" t="e">
        <f t="shared" si="7"/>
        <v>#N/A</v>
      </c>
    </row>
    <row r="25" spans="1:29" x14ac:dyDescent="0.15">
      <c r="A25" s="10">
        <f>'Metric Form'!K31</f>
        <v>0</v>
      </c>
      <c r="B25" s="10">
        <f>'Metric Form'!L31</f>
        <v>0</v>
      </c>
      <c r="C25" s="8">
        <f t="shared" si="8"/>
        <v>0</v>
      </c>
      <c r="D25" s="8">
        <f t="shared" si="8"/>
        <v>0</v>
      </c>
      <c r="E25" s="6" t="e">
        <f>VLOOKUP(Codes!$G$50,Codes!$A$2:$L$46,MATCH(Codes!$I$60,Codes!$A$1:$L$1,))</f>
        <v>#N/A</v>
      </c>
      <c r="F25">
        <f>'Metric Form'!J31</f>
        <v>0</v>
      </c>
      <c r="G25">
        <v>1</v>
      </c>
      <c r="H25" s="6" t="e">
        <f>IF(E25="Door Style 214","7000ARCHs",VLOOKUP(Codes!$G$50,Codes!$A$2:$J$41,MATCH(Codes!$I$50,Codes!$A$1:$J$1,)))</f>
        <v>#N/A</v>
      </c>
      <c r="I25" s="6" t="e">
        <f>VLOOKUP(Codes!$G$50,Codes!$A$2:$J$41,MATCH(Codes!$I$51,Codes!$A$1:$J$1,))</f>
        <v>#N/A</v>
      </c>
      <c r="J25" s="6" t="e">
        <f>IF(E25="Door Style 214","7ARCsG",VLOOKUP(Codes!$G$50,Codes!$A$2:$J$41,MATCH(Codes!$I$52,Codes!$A$1:$J$1,)))</f>
        <v>#N/A</v>
      </c>
      <c r="K25" t="e">
        <f t="shared" si="1"/>
        <v>#N/A</v>
      </c>
      <c r="L25" t="e">
        <f t="shared" si="2"/>
        <v>#N/A</v>
      </c>
      <c r="M25" t="e">
        <f t="shared" si="3"/>
        <v>#N/A</v>
      </c>
      <c r="N25" t="e">
        <f t="shared" si="4"/>
        <v>#N/A</v>
      </c>
      <c r="O25" t="e">
        <f t="shared" si="5"/>
        <v>#N/A</v>
      </c>
      <c r="P25" s="6" t="e">
        <f>VLOOKUP(Codes!$G$50,Codes!$A$1:$I$41,MATCH(Codes!$I$55,Codes!$A$1:$I$1,))</f>
        <v>#N/A</v>
      </c>
      <c r="Q25">
        <f>Codes!$G$52</f>
        <v>0</v>
      </c>
      <c r="R25">
        <f>Codes!G53</f>
        <v>0</v>
      </c>
      <c r="S25">
        <f t="shared" si="6"/>
        <v>0</v>
      </c>
      <c r="T25">
        <f>Codes!$G$50</f>
        <v>0</v>
      </c>
      <c r="U25">
        <f>Codes!$G$51</f>
        <v>0</v>
      </c>
      <c r="V25">
        <f>Codes!$C$51</f>
        <v>0</v>
      </c>
      <c r="W25" t="s">
        <v>326</v>
      </c>
      <c r="X25">
        <f>Codes!$B$54</f>
        <v>0</v>
      </c>
      <c r="Y25" t="str">
        <f>'Metric Form'!$D$8</f>
        <v>Cabinetmart Inc</v>
      </c>
      <c r="Z25">
        <f>'Metric Form'!$D$10</f>
        <v>0</v>
      </c>
      <c r="AA25" t="str">
        <f>IF(Codes!$G$54="YES","FINGER PULLS","")</f>
        <v/>
      </c>
      <c r="AB25" t="e">
        <f>IF($E25="Door Style 125","HOGGsNEW",IF(Codes!$G$50="10 600","HOGGsNEW",IF(Codes!$G$50="RILEY","HOGGs","")))</f>
        <v>#N/A</v>
      </c>
      <c r="AC25" t="e">
        <f t="shared" si="7"/>
        <v>#N/A</v>
      </c>
    </row>
    <row r="26" spans="1:29" x14ac:dyDescent="0.15">
      <c r="A26" s="10">
        <f>'Metric Form'!K32</f>
        <v>0</v>
      </c>
      <c r="B26" s="10">
        <f>'Metric Form'!L32</f>
        <v>0</v>
      </c>
      <c r="C26" s="8">
        <f t="shared" si="8"/>
        <v>0</v>
      </c>
      <c r="D26" s="8">
        <f t="shared" si="8"/>
        <v>0</v>
      </c>
      <c r="E26" s="6" t="e">
        <f>VLOOKUP(Codes!$G$50,Codes!$A$2:$L$46,MATCH(Codes!$I$60,Codes!$A$1:$L$1,))</f>
        <v>#N/A</v>
      </c>
      <c r="F26">
        <f>'Metric Form'!J32</f>
        <v>0</v>
      </c>
      <c r="G26">
        <v>1</v>
      </c>
      <c r="H26" s="6" t="e">
        <f>IF(E26="Door Style 214","7000ARCHs",VLOOKUP(Codes!$G$50,Codes!$A$2:$J$41,MATCH(Codes!$I$50,Codes!$A$1:$J$1,)))</f>
        <v>#N/A</v>
      </c>
      <c r="I26" s="6" t="e">
        <f>VLOOKUP(Codes!$G$50,Codes!$A$2:$J$41,MATCH(Codes!$I$51,Codes!$A$1:$J$1,))</f>
        <v>#N/A</v>
      </c>
      <c r="J26" s="6" t="e">
        <f>IF(E26="Door Style 214","7ARCsG",VLOOKUP(Codes!$G$50,Codes!$A$2:$J$41,MATCH(Codes!$I$52,Codes!$A$1:$J$1,)))</f>
        <v>#N/A</v>
      </c>
      <c r="K26" t="e">
        <f t="shared" si="1"/>
        <v>#N/A</v>
      </c>
      <c r="L26" t="e">
        <f t="shared" si="2"/>
        <v>#N/A</v>
      </c>
      <c r="M26" t="e">
        <f t="shared" si="3"/>
        <v>#N/A</v>
      </c>
      <c r="N26" t="e">
        <f t="shared" si="4"/>
        <v>#N/A</v>
      </c>
      <c r="O26" t="e">
        <f t="shared" si="5"/>
        <v>#N/A</v>
      </c>
      <c r="P26" s="6" t="e">
        <f>VLOOKUP(Codes!$G$50,Codes!$A$1:$I$41,MATCH(Codes!$I$55,Codes!$A$1:$I$1,))</f>
        <v>#N/A</v>
      </c>
      <c r="Q26">
        <f>Codes!$G$52</f>
        <v>0</v>
      </c>
      <c r="R26">
        <f>Codes!G53</f>
        <v>0</v>
      </c>
      <c r="S26">
        <f t="shared" si="6"/>
        <v>0</v>
      </c>
      <c r="T26">
        <f>Codes!$G$50</f>
        <v>0</v>
      </c>
      <c r="U26">
        <f>Codes!$G$51</f>
        <v>0</v>
      </c>
      <c r="V26">
        <f>Codes!$C$51</f>
        <v>0</v>
      </c>
      <c r="W26" t="s">
        <v>326</v>
      </c>
      <c r="X26">
        <f>Codes!$B$54</f>
        <v>0</v>
      </c>
      <c r="Y26" t="str">
        <f>'Metric Form'!$D$8</f>
        <v>Cabinetmart Inc</v>
      </c>
      <c r="Z26">
        <f>'Metric Form'!$D$10</f>
        <v>0</v>
      </c>
      <c r="AA26" t="str">
        <f>IF(Codes!$G$54="YES","FINGER PULLS","")</f>
        <v/>
      </c>
      <c r="AB26" t="e">
        <f>IF($E26="Door Style 125","HOGGsNEW",IF(Codes!$G$50="10 600","HOGGsNEW",IF(Codes!$G$50="RILEY","HOGGs","")))</f>
        <v>#N/A</v>
      </c>
      <c r="AC26" t="e">
        <f t="shared" si="7"/>
        <v>#N/A</v>
      </c>
    </row>
    <row r="27" spans="1:29" x14ac:dyDescent="0.15">
      <c r="A27" s="10">
        <f>'Metric Form'!K33</f>
        <v>0</v>
      </c>
      <c r="B27" s="10">
        <f>'Metric Form'!L33</f>
        <v>0</v>
      </c>
      <c r="C27" s="8">
        <f t="shared" si="8"/>
        <v>0</v>
      </c>
      <c r="D27" s="8">
        <f t="shared" si="8"/>
        <v>0</v>
      </c>
      <c r="E27" s="6" t="e">
        <f>VLOOKUP(Codes!$G$50,Codes!$A$2:$L$46,MATCH(Codes!$I$60,Codes!$A$1:$L$1,))</f>
        <v>#N/A</v>
      </c>
      <c r="F27">
        <f>'Metric Form'!J33</f>
        <v>0</v>
      </c>
      <c r="G27">
        <v>1</v>
      </c>
      <c r="H27" s="6" t="e">
        <f>IF(E27="Door Style 214","7000ARCHs",VLOOKUP(Codes!$G$50,Codes!$A$2:$J$41,MATCH(Codes!$I$50,Codes!$A$1:$J$1,)))</f>
        <v>#N/A</v>
      </c>
      <c r="I27" s="6" t="e">
        <f>VLOOKUP(Codes!$G$50,Codes!$A$2:$J$41,MATCH(Codes!$I$51,Codes!$A$1:$J$1,))</f>
        <v>#N/A</v>
      </c>
      <c r="J27" s="6" t="e">
        <f>IF(E27="Door Style 214","7ARCsG",VLOOKUP(Codes!$G$50,Codes!$A$2:$J$41,MATCH(Codes!$I$52,Codes!$A$1:$J$1,)))</f>
        <v>#N/A</v>
      </c>
      <c r="K27" t="e">
        <f t="shared" si="1"/>
        <v>#N/A</v>
      </c>
      <c r="L27" t="e">
        <f t="shared" si="2"/>
        <v>#N/A</v>
      </c>
      <c r="M27" t="e">
        <f t="shared" si="3"/>
        <v>#N/A</v>
      </c>
      <c r="N27" t="e">
        <f t="shared" si="4"/>
        <v>#N/A</v>
      </c>
      <c r="O27" t="e">
        <f t="shared" si="5"/>
        <v>#N/A</v>
      </c>
      <c r="P27" s="6" t="e">
        <f>VLOOKUP(Codes!$G$50,Codes!$A$1:$I$41,MATCH(Codes!$I$55,Codes!$A$1:$I$1,))</f>
        <v>#N/A</v>
      </c>
      <c r="Q27">
        <f>Codes!$G$52</f>
        <v>0</v>
      </c>
      <c r="R27">
        <f>Codes!G53</f>
        <v>0</v>
      </c>
      <c r="S27">
        <f t="shared" si="6"/>
        <v>0</v>
      </c>
      <c r="T27">
        <f>Codes!$G$50</f>
        <v>0</v>
      </c>
      <c r="U27">
        <f>Codes!$G$51</f>
        <v>0</v>
      </c>
      <c r="V27">
        <f>Codes!$C$51</f>
        <v>0</v>
      </c>
      <c r="W27" t="s">
        <v>326</v>
      </c>
      <c r="X27">
        <f>Codes!$B$54</f>
        <v>0</v>
      </c>
      <c r="Y27" t="str">
        <f>'Metric Form'!$D$8</f>
        <v>Cabinetmart Inc</v>
      </c>
      <c r="Z27">
        <f>'Metric Form'!$D$10</f>
        <v>0</v>
      </c>
      <c r="AA27" t="str">
        <f>IF(Codes!$G$54="YES","FINGER PULLS","")</f>
        <v/>
      </c>
      <c r="AB27" t="e">
        <f>IF($E27="Door Style 125","HOGGsNEW",IF(Codes!$G$50="10 600","HOGGsNEW",IF(Codes!$G$50="RILEY","HOGGs","")))</f>
        <v>#N/A</v>
      </c>
      <c r="AC27" t="e">
        <f t="shared" si="7"/>
        <v>#N/A</v>
      </c>
    </row>
    <row r="28" spans="1:29" x14ac:dyDescent="0.15">
      <c r="A28" s="10">
        <f>'Metric Form'!K34</f>
        <v>0</v>
      </c>
      <c r="B28" s="10">
        <f>'Metric Form'!L34</f>
        <v>0</v>
      </c>
      <c r="C28" s="8">
        <f t="shared" si="8"/>
        <v>0</v>
      </c>
      <c r="D28" s="8">
        <f t="shared" si="8"/>
        <v>0</v>
      </c>
      <c r="E28" s="6" t="e">
        <f>VLOOKUP(Codes!$G$50,Codes!$A$2:$L$46,MATCH(Codes!$I$60,Codes!$A$1:$L$1,))</f>
        <v>#N/A</v>
      </c>
      <c r="F28">
        <f>'Metric Form'!J34</f>
        <v>0</v>
      </c>
      <c r="G28">
        <v>1</v>
      </c>
      <c r="H28" s="6" t="e">
        <f>IF(E28="Door Style 214","7000ARCHs",VLOOKUP(Codes!$G$50,Codes!$A$2:$J$41,MATCH(Codes!$I$50,Codes!$A$1:$J$1,)))</f>
        <v>#N/A</v>
      </c>
      <c r="I28" s="6" t="e">
        <f>VLOOKUP(Codes!$G$50,Codes!$A$2:$J$41,MATCH(Codes!$I$51,Codes!$A$1:$J$1,))</f>
        <v>#N/A</v>
      </c>
      <c r="J28" s="6" t="e">
        <f>IF(E28="Door Style 214","7ARCsG",VLOOKUP(Codes!$G$50,Codes!$A$2:$J$41,MATCH(Codes!$I$52,Codes!$A$1:$J$1,)))</f>
        <v>#N/A</v>
      </c>
      <c r="K28" t="e">
        <f t="shared" si="1"/>
        <v>#N/A</v>
      </c>
      <c r="L28" t="e">
        <f t="shared" si="2"/>
        <v>#N/A</v>
      </c>
      <c r="M28" t="e">
        <f t="shared" si="3"/>
        <v>#N/A</v>
      </c>
      <c r="N28" t="e">
        <f t="shared" si="4"/>
        <v>#N/A</v>
      </c>
      <c r="O28" t="e">
        <f t="shared" si="5"/>
        <v>#N/A</v>
      </c>
      <c r="P28" s="6" t="e">
        <f>VLOOKUP(Codes!$G$50,Codes!$A$1:$I$41,MATCH(Codes!$I$55,Codes!$A$1:$I$1,))</f>
        <v>#N/A</v>
      </c>
      <c r="Q28">
        <f>Codes!$G$52</f>
        <v>0</v>
      </c>
      <c r="R28">
        <f>Codes!G53</f>
        <v>0</v>
      </c>
      <c r="S28">
        <f t="shared" si="6"/>
        <v>0</v>
      </c>
      <c r="T28">
        <f>Codes!$G$50</f>
        <v>0</v>
      </c>
      <c r="U28">
        <f>Codes!$G$51</f>
        <v>0</v>
      </c>
      <c r="V28">
        <f>Codes!$C$51</f>
        <v>0</v>
      </c>
      <c r="W28" t="s">
        <v>326</v>
      </c>
      <c r="X28">
        <f>Codes!$B$54</f>
        <v>0</v>
      </c>
      <c r="Y28" t="str">
        <f>'Metric Form'!$D$8</f>
        <v>Cabinetmart Inc</v>
      </c>
      <c r="Z28">
        <f>'Metric Form'!$D$10</f>
        <v>0</v>
      </c>
      <c r="AA28" t="str">
        <f>IF(Codes!$G$54="YES","FINGER PULLS","")</f>
        <v/>
      </c>
      <c r="AB28" t="e">
        <f>IF($E28="Door Style 125","HOGGsNEW",IF(Codes!$G$50="10 600","HOGGsNEW",IF(Codes!$G$50="RILEY","HOGGs","")))</f>
        <v>#N/A</v>
      </c>
      <c r="AC28" t="e">
        <f t="shared" si="7"/>
        <v>#N/A</v>
      </c>
    </row>
    <row r="29" spans="1:29" x14ac:dyDescent="0.15">
      <c r="A29" s="10">
        <f>'Metric Form'!K35</f>
        <v>0</v>
      </c>
      <c r="B29" s="10">
        <f>'Metric Form'!L35</f>
        <v>0</v>
      </c>
      <c r="C29" s="8">
        <f t="shared" si="8"/>
        <v>0</v>
      </c>
      <c r="D29" s="8">
        <f t="shared" si="8"/>
        <v>0</v>
      </c>
      <c r="E29" s="6" t="e">
        <f>VLOOKUP(Codes!$G$50,Codes!$A$2:$L$46,MATCH(Codes!$I$60,Codes!$A$1:$L$1,))</f>
        <v>#N/A</v>
      </c>
      <c r="F29">
        <f>'Metric Form'!J35</f>
        <v>0</v>
      </c>
      <c r="G29">
        <v>1</v>
      </c>
      <c r="H29" s="6" t="e">
        <f>IF(E29="Door Style 214","7000ARCHs",VLOOKUP(Codes!$G$50,Codes!$A$2:$J$41,MATCH(Codes!$I$50,Codes!$A$1:$J$1,)))</f>
        <v>#N/A</v>
      </c>
      <c r="I29" s="6" t="e">
        <f>VLOOKUP(Codes!$G$50,Codes!$A$2:$J$41,MATCH(Codes!$I$51,Codes!$A$1:$J$1,))</f>
        <v>#N/A</v>
      </c>
      <c r="J29" s="6" t="e">
        <f>IF(E29="Door Style 214","7ARCsG",VLOOKUP(Codes!$G$50,Codes!$A$2:$J$41,MATCH(Codes!$I$52,Codes!$A$1:$J$1,)))</f>
        <v>#N/A</v>
      </c>
      <c r="K29" t="e">
        <f t="shared" si="1"/>
        <v>#N/A</v>
      </c>
      <c r="L29" t="e">
        <f t="shared" si="2"/>
        <v>#N/A</v>
      </c>
      <c r="M29" t="e">
        <f t="shared" si="3"/>
        <v>#N/A</v>
      </c>
      <c r="N29" t="e">
        <f t="shared" si="4"/>
        <v>#N/A</v>
      </c>
      <c r="O29" t="e">
        <f t="shared" si="5"/>
        <v>#N/A</v>
      </c>
      <c r="P29" s="6" t="e">
        <f>VLOOKUP(Codes!$G$50,Codes!$A$1:$I$41,MATCH(Codes!$I$55,Codes!$A$1:$I$1,))</f>
        <v>#N/A</v>
      </c>
      <c r="Q29">
        <f>Codes!$G$52</f>
        <v>0</v>
      </c>
      <c r="R29">
        <f>Codes!G53</f>
        <v>0</v>
      </c>
      <c r="S29">
        <f t="shared" si="6"/>
        <v>0</v>
      </c>
      <c r="T29">
        <f>Codes!$G$50</f>
        <v>0</v>
      </c>
      <c r="U29">
        <f>Codes!$G$51</f>
        <v>0</v>
      </c>
      <c r="V29">
        <f>Codes!$C$51</f>
        <v>0</v>
      </c>
      <c r="W29" t="s">
        <v>326</v>
      </c>
      <c r="X29">
        <f>Codes!$B$54</f>
        <v>0</v>
      </c>
      <c r="Y29" t="str">
        <f>'Metric Form'!$D$8</f>
        <v>Cabinetmart Inc</v>
      </c>
      <c r="Z29">
        <f>'Metric Form'!$D$10</f>
        <v>0</v>
      </c>
      <c r="AA29" t="str">
        <f>IF(Codes!$G$54="YES","FINGER PULLS","")</f>
        <v/>
      </c>
      <c r="AB29" t="e">
        <f>IF($E29="Door Style 125","HOGGsNEW",IF(Codes!$G$50="10 600","HOGGsNEW",IF(Codes!$G$50="RILEY","HOGGs","")))</f>
        <v>#N/A</v>
      </c>
      <c r="AC29" t="e">
        <f t="shared" si="7"/>
        <v>#N/A</v>
      </c>
    </row>
    <row r="30" spans="1:29" x14ac:dyDescent="0.15">
      <c r="A30" s="10">
        <f>'Metric Form'!K36</f>
        <v>0</v>
      </c>
      <c r="B30" s="10">
        <f>'Metric Form'!L36</f>
        <v>0</v>
      </c>
      <c r="C30" s="8">
        <f t="shared" si="8"/>
        <v>0</v>
      </c>
      <c r="D30" s="8">
        <f t="shared" si="8"/>
        <v>0</v>
      </c>
      <c r="E30" s="6" t="e">
        <f>VLOOKUP(Codes!$G$50,Codes!$A$2:$L$46,MATCH(Codes!$I$60,Codes!$A$1:$L$1,))</f>
        <v>#N/A</v>
      </c>
      <c r="F30">
        <f>'Metric Form'!J36</f>
        <v>0</v>
      </c>
      <c r="G30">
        <v>1</v>
      </c>
      <c r="H30" s="6" t="e">
        <f>IF(E30="Door Style 214","7000ARCHs",VLOOKUP(Codes!$G$50,Codes!$A$2:$J$41,MATCH(Codes!$I$50,Codes!$A$1:$J$1,)))</f>
        <v>#N/A</v>
      </c>
      <c r="I30" s="6" t="e">
        <f>VLOOKUP(Codes!$G$50,Codes!$A$2:$J$41,MATCH(Codes!$I$51,Codes!$A$1:$J$1,))</f>
        <v>#N/A</v>
      </c>
      <c r="J30" s="6" t="e">
        <f>IF(E30="Door Style 214","7ARCsG",VLOOKUP(Codes!$G$50,Codes!$A$2:$J$41,MATCH(Codes!$I$52,Codes!$A$1:$J$1,)))</f>
        <v>#N/A</v>
      </c>
      <c r="K30" t="e">
        <f t="shared" si="1"/>
        <v>#N/A</v>
      </c>
      <c r="L30" t="e">
        <f t="shared" si="2"/>
        <v>#N/A</v>
      </c>
      <c r="M30" t="e">
        <f t="shared" si="3"/>
        <v>#N/A</v>
      </c>
      <c r="N30" t="e">
        <f t="shared" si="4"/>
        <v>#N/A</v>
      </c>
      <c r="O30" t="e">
        <f t="shared" si="5"/>
        <v>#N/A</v>
      </c>
      <c r="P30" s="6" t="e">
        <f>VLOOKUP(Codes!$G$50,Codes!$A$1:$I$41,MATCH(Codes!$I$55,Codes!$A$1:$I$1,))</f>
        <v>#N/A</v>
      </c>
      <c r="Q30">
        <f>Codes!$G$52</f>
        <v>0</v>
      </c>
      <c r="R30">
        <f>Codes!G53</f>
        <v>0</v>
      </c>
      <c r="S30">
        <f t="shared" si="6"/>
        <v>0</v>
      </c>
      <c r="T30">
        <f>Codes!$G$50</f>
        <v>0</v>
      </c>
      <c r="U30">
        <f>Codes!$G$51</f>
        <v>0</v>
      </c>
      <c r="V30">
        <f>Codes!$C$51</f>
        <v>0</v>
      </c>
      <c r="W30" t="s">
        <v>326</v>
      </c>
      <c r="X30">
        <f>Codes!$B$54</f>
        <v>0</v>
      </c>
      <c r="Y30" t="str">
        <f>'Metric Form'!$D$8</f>
        <v>Cabinetmart Inc</v>
      </c>
      <c r="Z30">
        <f>'Metric Form'!$D$10</f>
        <v>0</v>
      </c>
      <c r="AA30" t="str">
        <f>IF(Codes!$G$54="YES","FINGER PULLS","")</f>
        <v/>
      </c>
      <c r="AB30" t="e">
        <f>IF($E30="Door Style 125","HOGGsNEW",IF(Codes!$G$50="10 600","HOGGsNEW",IF(Codes!$G$50="RILEY","HOGGs","")))</f>
        <v>#N/A</v>
      </c>
      <c r="AC30" t="e">
        <f t="shared" si="7"/>
        <v>#N/A</v>
      </c>
    </row>
    <row r="31" spans="1:29" x14ac:dyDescent="0.15">
      <c r="A31" s="10">
        <f>'Metric Form'!K37</f>
        <v>0</v>
      </c>
      <c r="B31" s="10">
        <f>'Metric Form'!L37</f>
        <v>0</v>
      </c>
      <c r="C31" s="8">
        <f t="shared" si="8"/>
        <v>0</v>
      </c>
      <c r="D31" s="8">
        <f t="shared" si="8"/>
        <v>0</v>
      </c>
      <c r="E31" s="6" t="e">
        <f>VLOOKUP(Codes!$G$50,Codes!$A$2:$L$46,MATCH(Codes!$I$60,Codes!$A$1:$L$1,))</f>
        <v>#N/A</v>
      </c>
      <c r="F31">
        <f>'Metric Form'!J37</f>
        <v>0</v>
      </c>
      <c r="G31">
        <v>1</v>
      </c>
      <c r="H31" s="6" t="e">
        <f>IF(E31="Door Style 214","7000ARCHs",VLOOKUP(Codes!$G$50,Codes!$A$2:$J$41,MATCH(Codes!$I$50,Codes!$A$1:$J$1,)))</f>
        <v>#N/A</v>
      </c>
      <c r="I31" s="6" t="e">
        <f>VLOOKUP(Codes!$G$50,Codes!$A$2:$J$41,MATCH(Codes!$I$51,Codes!$A$1:$J$1,))</f>
        <v>#N/A</v>
      </c>
      <c r="J31" s="6" t="e">
        <f>IF(E31="Door Style 214","7ARCsG",VLOOKUP(Codes!$G$50,Codes!$A$2:$J$41,MATCH(Codes!$I$52,Codes!$A$1:$J$1,)))</f>
        <v>#N/A</v>
      </c>
      <c r="K31" t="e">
        <f t="shared" si="1"/>
        <v>#N/A</v>
      </c>
      <c r="L31" t="e">
        <f t="shared" si="2"/>
        <v>#N/A</v>
      </c>
      <c r="M31" t="e">
        <f t="shared" si="3"/>
        <v>#N/A</v>
      </c>
      <c r="N31" t="e">
        <f t="shared" si="4"/>
        <v>#N/A</v>
      </c>
      <c r="O31" t="e">
        <f t="shared" si="5"/>
        <v>#N/A</v>
      </c>
      <c r="P31" s="6" t="e">
        <f>VLOOKUP(Codes!$G$50,Codes!$A$1:$I$41,MATCH(Codes!$I$55,Codes!$A$1:$I$1,))</f>
        <v>#N/A</v>
      </c>
      <c r="Q31">
        <f>Codes!$G$52</f>
        <v>0</v>
      </c>
      <c r="R31">
        <f>Codes!G53</f>
        <v>0</v>
      </c>
      <c r="S31">
        <f t="shared" si="6"/>
        <v>0</v>
      </c>
      <c r="T31">
        <f>Codes!$G$50</f>
        <v>0</v>
      </c>
      <c r="U31">
        <f>Codes!$G$51</f>
        <v>0</v>
      </c>
      <c r="V31">
        <f>Codes!$C$51</f>
        <v>0</v>
      </c>
      <c r="W31" t="s">
        <v>326</v>
      </c>
      <c r="X31">
        <f>Codes!$B$54</f>
        <v>0</v>
      </c>
      <c r="Y31" t="str">
        <f>'Metric Form'!$D$8</f>
        <v>Cabinetmart Inc</v>
      </c>
      <c r="Z31">
        <f>'Metric Form'!$D$10</f>
        <v>0</v>
      </c>
      <c r="AA31" t="str">
        <f>IF(Codes!$G$54="YES","FINGER PULLS","")</f>
        <v/>
      </c>
      <c r="AB31" t="e">
        <f>IF($E31="Door Style 125","HOGGsNEW",IF(Codes!$G$50="10 600","HOGGsNEW",IF(Codes!$G$50="RILEY","HOGGs","")))</f>
        <v>#N/A</v>
      </c>
      <c r="AC31" t="e">
        <f t="shared" si="7"/>
        <v>#N/A</v>
      </c>
    </row>
    <row r="32" spans="1:29" x14ac:dyDescent="0.15">
      <c r="A32" s="10">
        <f>'Metric Form'!K38</f>
        <v>0</v>
      </c>
      <c r="B32" s="10">
        <f>'Metric Form'!L38</f>
        <v>0</v>
      </c>
      <c r="C32" s="8">
        <f t="shared" si="8"/>
        <v>0</v>
      </c>
      <c r="D32" s="8">
        <f t="shared" si="8"/>
        <v>0</v>
      </c>
      <c r="E32" s="6" t="e">
        <f>VLOOKUP(Codes!$G$50,Codes!$A$2:$L$46,MATCH(Codes!$I$60,Codes!$A$1:$L$1,))</f>
        <v>#N/A</v>
      </c>
      <c r="F32">
        <f>'Metric Form'!J38</f>
        <v>0</v>
      </c>
      <c r="G32">
        <v>1</v>
      </c>
      <c r="H32" s="6" t="e">
        <f>IF(E32="Door Style 214","7000ARCHs",VLOOKUP(Codes!$G$50,Codes!$A$2:$J$41,MATCH(Codes!$I$50,Codes!$A$1:$J$1,)))</f>
        <v>#N/A</v>
      </c>
      <c r="I32" s="6" t="e">
        <f>VLOOKUP(Codes!$G$50,Codes!$A$2:$J$41,MATCH(Codes!$I$51,Codes!$A$1:$J$1,))</f>
        <v>#N/A</v>
      </c>
      <c r="J32" s="6" t="e">
        <f>IF(E32="Door Style 214","7ARCsG",VLOOKUP(Codes!$G$50,Codes!$A$2:$J$41,MATCH(Codes!$I$52,Codes!$A$1:$J$1,)))</f>
        <v>#N/A</v>
      </c>
      <c r="K32" t="e">
        <f t="shared" si="1"/>
        <v>#N/A</v>
      </c>
      <c r="L32" t="e">
        <f t="shared" si="2"/>
        <v>#N/A</v>
      </c>
      <c r="M32" t="e">
        <f t="shared" si="3"/>
        <v>#N/A</v>
      </c>
      <c r="N32" t="e">
        <f t="shared" si="4"/>
        <v>#N/A</v>
      </c>
      <c r="O32" t="e">
        <f t="shared" si="5"/>
        <v>#N/A</v>
      </c>
      <c r="P32" s="6" t="e">
        <f>VLOOKUP(Codes!$G$50,Codes!$A$1:$I$41,MATCH(Codes!$I$55,Codes!$A$1:$I$1,))</f>
        <v>#N/A</v>
      </c>
      <c r="Q32">
        <f>Codes!$G$52</f>
        <v>0</v>
      </c>
      <c r="R32">
        <f>Codes!G53</f>
        <v>0</v>
      </c>
      <c r="S32">
        <f t="shared" si="6"/>
        <v>0</v>
      </c>
      <c r="T32">
        <f>Codes!$G$50</f>
        <v>0</v>
      </c>
      <c r="U32">
        <f>Codes!$G$51</f>
        <v>0</v>
      </c>
      <c r="V32">
        <f>Codes!$C$51</f>
        <v>0</v>
      </c>
      <c r="W32" t="s">
        <v>326</v>
      </c>
      <c r="X32">
        <f>Codes!$B$54</f>
        <v>0</v>
      </c>
      <c r="Y32" t="str">
        <f>'Metric Form'!$D$8</f>
        <v>Cabinetmart Inc</v>
      </c>
      <c r="Z32">
        <f>'Metric Form'!$D$10</f>
        <v>0</v>
      </c>
      <c r="AA32" t="str">
        <f>IF(Codes!$G$54="YES","FINGER PULLS","")</f>
        <v/>
      </c>
      <c r="AB32" t="e">
        <f>IF($E32="Door Style 125","HOGGsNEW",IF(Codes!$G$50="10 600","HOGGsNEW",IF(Codes!$G$50="RILEY","HOGGs","")))</f>
        <v>#N/A</v>
      </c>
      <c r="AC32" t="e">
        <f t="shared" si="7"/>
        <v>#N/A</v>
      </c>
    </row>
    <row r="33" spans="1:29" x14ac:dyDescent="0.15">
      <c r="C33" s="8"/>
      <c r="D33" s="8"/>
      <c r="H33" s="6"/>
      <c r="I33" s="6"/>
      <c r="J33" s="6"/>
      <c r="K33" t="str">
        <f>IF($E33="Door Style 102","31","")</f>
        <v/>
      </c>
      <c r="P33" s="6"/>
    </row>
    <row r="34" spans="1:29" x14ac:dyDescent="0.15">
      <c r="A34" s="10">
        <f>'Metric Form'!P24</f>
        <v>0</v>
      </c>
      <c r="B34" s="10">
        <f>'Metric Form'!Q24</f>
        <v>0</v>
      </c>
      <c r="C34" s="8">
        <f>A34</f>
        <v>0</v>
      </c>
      <c r="D34" s="8">
        <f>B34</f>
        <v>0</v>
      </c>
      <c r="E34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34" s="9">
        <f>'Metric Form'!O24</f>
        <v>0</v>
      </c>
      <c r="G34">
        <v>1</v>
      </c>
      <c r="H34" s="6" t="e">
        <f>VLOOKUP(Codes!$G$50,Codes!$A$2:$J$41,MATCH(Codes!$I$50,Codes!$A$1:$J$1,))</f>
        <v>#N/A</v>
      </c>
      <c r="I34" s="6" t="e">
        <f>VLOOKUP(Codes!$G$50,Codes!$A$2:$J$41,MATCH(Codes!$I$53,Codes!$A$1:$J$1,))</f>
        <v>#N/A</v>
      </c>
      <c r="J34" s="6" t="e">
        <f>VLOOKUP(Codes!$G$50,Codes!$A$2:$J$41,MATCH(Codes!$I$54,Codes!$A$1:$J$1,))</f>
        <v>#N/A</v>
      </c>
      <c r="P34" s="6" t="e">
        <f>VLOOKUP(Codes!$G$50,Codes!$A$1:$I$41,MATCH(Codes!$I$55,Codes!$A$1:$I$1,))</f>
        <v>#N/A</v>
      </c>
      <c r="Q34">
        <f>Codes!$G$52</f>
        <v>0</v>
      </c>
      <c r="R34">
        <f>Codes!G53</f>
        <v>0</v>
      </c>
      <c r="S34">
        <v>0</v>
      </c>
      <c r="T34">
        <f>Codes!$G$50</f>
        <v>0</v>
      </c>
      <c r="V34">
        <f>Codes!$C$52</f>
        <v>0</v>
      </c>
      <c r="W34" t="s">
        <v>327</v>
      </c>
      <c r="X34">
        <f>Codes!$B$54</f>
        <v>0</v>
      </c>
      <c r="Y34" t="str">
        <f>'Metric Form'!$D$8</f>
        <v>Cabinetmart Inc</v>
      </c>
      <c r="Z34">
        <f>'Metric Form'!$D$10</f>
        <v>0</v>
      </c>
      <c r="AA34" t="str">
        <f>IF(Codes!$G$54="YES","FINGER PULLS","")</f>
        <v/>
      </c>
      <c r="AB34" t="str">
        <f>IF($E34="Door Style 125","HOGGsNEW",IF(Codes!$G$50="10 600","HOGGsNEW",IF(Codes!$G$50="RILEY","HOGGs","")))</f>
        <v/>
      </c>
      <c r="AC34" t="str">
        <f t="shared" si="7"/>
        <v/>
      </c>
    </row>
    <row r="35" spans="1:29" x14ac:dyDescent="0.15">
      <c r="A35" s="10">
        <f>'Metric Form'!P25</f>
        <v>0</v>
      </c>
      <c r="B35" s="10">
        <f>'Metric Form'!Q25</f>
        <v>0</v>
      </c>
      <c r="C35" s="8">
        <f t="shared" ref="C35:D48" si="9">A35</f>
        <v>0</v>
      </c>
      <c r="D35" s="8">
        <f t="shared" si="9"/>
        <v>0</v>
      </c>
      <c r="E35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35" s="9">
        <f>'Metric Form'!O25</f>
        <v>0</v>
      </c>
      <c r="G35">
        <v>1</v>
      </c>
      <c r="H35" s="6" t="e">
        <f>VLOOKUP(Codes!$G$50,Codes!$A$2:$J$41,MATCH(Codes!$I$50,Codes!$A$1:$J$1,))</f>
        <v>#N/A</v>
      </c>
      <c r="I35" s="6" t="e">
        <f>VLOOKUP(Codes!$G$50,Codes!$A$2:$J$41,MATCH(Codes!$I$53,Codes!$A$1:$J$1,))</f>
        <v>#N/A</v>
      </c>
      <c r="J35" s="6" t="e">
        <f>VLOOKUP(Codes!$G$50,Codes!$A$2:$J$41,MATCH(Codes!$I$54,Codes!$A$1:$J$1,))</f>
        <v>#N/A</v>
      </c>
      <c r="P35" s="6" t="e">
        <f>VLOOKUP(Codes!$G$50,Codes!$A$1:$I$41,MATCH(Codes!$I$55,Codes!$A$1:$I$1,))</f>
        <v>#N/A</v>
      </c>
      <c r="Q35">
        <f>Codes!$G$52</f>
        <v>0</v>
      </c>
      <c r="R35">
        <f>Codes!G53</f>
        <v>0</v>
      </c>
      <c r="S35">
        <v>0</v>
      </c>
      <c r="T35">
        <f>Codes!$G$50</f>
        <v>0</v>
      </c>
      <c r="V35">
        <f>Codes!$C$52</f>
        <v>0</v>
      </c>
      <c r="W35" t="s">
        <v>327</v>
      </c>
      <c r="X35">
        <f>Codes!$B$54</f>
        <v>0</v>
      </c>
      <c r="Y35" t="str">
        <f>'Metric Form'!$D$8</f>
        <v>Cabinetmart Inc</v>
      </c>
      <c r="Z35">
        <f>'Metric Form'!$D$10</f>
        <v>0</v>
      </c>
      <c r="AA35" t="str">
        <f>IF(Codes!$G$54="YES","FINGER PULLS","")</f>
        <v/>
      </c>
      <c r="AB35" t="str">
        <f>IF($E35="Door Style 125","HOGGsNEW",IF(Codes!$G$50="10 600","HOGGsNEW",IF(Codes!$G$50="RILEY","HOGGs","")))</f>
        <v/>
      </c>
      <c r="AC35" t="str">
        <f t="shared" si="7"/>
        <v/>
      </c>
    </row>
    <row r="36" spans="1:29" x14ac:dyDescent="0.15">
      <c r="A36" s="10">
        <f>'Metric Form'!P26</f>
        <v>0</v>
      </c>
      <c r="B36" s="10">
        <f>'Metric Form'!Q26</f>
        <v>0</v>
      </c>
      <c r="C36" s="8">
        <f t="shared" si="9"/>
        <v>0</v>
      </c>
      <c r="D36" s="8">
        <f t="shared" si="9"/>
        <v>0</v>
      </c>
      <c r="E36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36" s="9">
        <f>'Metric Form'!O26</f>
        <v>0</v>
      </c>
      <c r="G36">
        <v>1</v>
      </c>
      <c r="H36" s="6" t="e">
        <f>VLOOKUP(Codes!$G$50,Codes!$A$2:$J$41,MATCH(Codes!$I$50,Codes!$A$1:$J$1,))</f>
        <v>#N/A</v>
      </c>
      <c r="I36" s="6" t="e">
        <f>VLOOKUP(Codes!$G$50,Codes!$A$2:$J$41,MATCH(Codes!$I$53,Codes!$A$1:$J$1,))</f>
        <v>#N/A</v>
      </c>
      <c r="J36" s="6" t="e">
        <f>VLOOKUP(Codes!$G$50,Codes!$A$2:$J$41,MATCH(Codes!$I$54,Codes!$A$1:$J$1,))</f>
        <v>#N/A</v>
      </c>
      <c r="P36" s="6" t="e">
        <f>VLOOKUP(Codes!$G$50,Codes!$A$1:$I$41,MATCH(Codes!$I$55,Codes!$A$1:$I$1,))</f>
        <v>#N/A</v>
      </c>
      <c r="Q36">
        <f>Codes!$G$52</f>
        <v>0</v>
      </c>
      <c r="R36">
        <f>Codes!G53</f>
        <v>0</v>
      </c>
      <c r="S36">
        <v>0</v>
      </c>
      <c r="T36">
        <f>Codes!$G$50</f>
        <v>0</v>
      </c>
      <c r="V36">
        <f>Codes!$C$52</f>
        <v>0</v>
      </c>
      <c r="W36" t="s">
        <v>327</v>
      </c>
      <c r="X36">
        <f>Codes!$B$54</f>
        <v>0</v>
      </c>
      <c r="Y36" t="str">
        <f>'Metric Form'!$D$8</f>
        <v>Cabinetmart Inc</v>
      </c>
      <c r="Z36">
        <f>'Metric Form'!$D$10</f>
        <v>0</v>
      </c>
      <c r="AA36" t="str">
        <f>IF(Codes!$G$54="YES","FINGER PULLS","")</f>
        <v/>
      </c>
      <c r="AB36" t="str">
        <f>IF($E36="Door Style 125","HOGGsNEW",IF(Codes!$G$50="10 600","HOGGsNEW",IF(Codes!$G$50="RILEY","HOGGs","")))</f>
        <v/>
      </c>
      <c r="AC36" t="str">
        <f t="shared" si="7"/>
        <v/>
      </c>
    </row>
    <row r="37" spans="1:29" x14ac:dyDescent="0.15">
      <c r="A37" s="10">
        <f>'Metric Form'!P27</f>
        <v>0</v>
      </c>
      <c r="B37" s="10">
        <f>'Metric Form'!Q27</f>
        <v>0</v>
      </c>
      <c r="C37" s="8">
        <f t="shared" si="9"/>
        <v>0</v>
      </c>
      <c r="D37" s="8">
        <f t="shared" si="9"/>
        <v>0</v>
      </c>
      <c r="E37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37" s="9">
        <f>'Metric Form'!O27</f>
        <v>0</v>
      </c>
      <c r="G37">
        <v>1</v>
      </c>
      <c r="H37" s="6" t="e">
        <f>VLOOKUP(Codes!$G$50,Codes!$A$2:$J$41,MATCH(Codes!$I$50,Codes!$A$1:$J$1,))</f>
        <v>#N/A</v>
      </c>
      <c r="I37" s="6" t="e">
        <f>VLOOKUP(Codes!$G$50,Codes!$A$2:$J$41,MATCH(Codes!$I$53,Codes!$A$1:$J$1,))</f>
        <v>#N/A</v>
      </c>
      <c r="J37" s="6" t="e">
        <f>VLOOKUP(Codes!$G$50,Codes!$A$2:$J$41,MATCH(Codes!$I$54,Codes!$A$1:$J$1,))</f>
        <v>#N/A</v>
      </c>
      <c r="P37" s="6" t="e">
        <f>VLOOKUP(Codes!$G$50,Codes!$A$1:$I$41,MATCH(Codes!$I$55,Codes!$A$1:$I$1,))</f>
        <v>#N/A</v>
      </c>
      <c r="Q37">
        <f>Codes!$G$52</f>
        <v>0</v>
      </c>
      <c r="R37">
        <f>Codes!G53</f>
        <v>0</v>
      </c>
      <c r="S37">
        <v>0</v>
      </c>
      <c r="T37">
        <f>Codes!$G$50</f>
        <v>0</v>
      </c>
      <c r="V37">
        <f>Codes!$C$52</f>
        <v>0</v>
      </c>
      <c r="W37" t="s">
        <v>327</v>
      </c>
      <c r="X37">
        <f>Codes!$B$54</f>
        <v>0</v>
      </c>
      <c r="Y37" t="str">
        <f>'Metric Form'!$D$8</f>
        <v>Cabinetmart Inc</v>
      </c>
      <c r="Z37">
        <f>'Metric Form'!$D$10</f>
        <v>0</v>
      </c>
      <c r="AA37" t="str">
        <f>IF(Codes!$G$54="YES","FINGER PULLS","")</f>
        <v/>
      </c>
      <c r="AB37" t="str">
        <f>IF($E37="Door Style 125","HOGGsNEW",IF(Codes!$G$50="10 600","HOGGsNEW",IF(Codes!$G$50="RILEY","HOGGs","")))</f>
        <v/>
      </c>
      <c r="AC37" t="str">
        <f t="shared" si="7"/>
        <v/>
      </c>
    </row>
    <row r="38" spans="1:29" x14ac:dyDescent="0.15">
      <c r="A38" s="10">
        <f>'Metric Form'!P28</f>
        <v>0</v>
      </c>
      <c r="B38" s="10">
        <f>'Metric Form'!Q28</f>
        <v>0</v>
      </c>
      <c r="C38" s="8">
        <f t="shared" si="9"/>
        <v>0</v>
      </c>
      <c r="D38" s="8">
        <f t="shared" si="9"/>
        <v>0</v>
      </c>
      <c r="E38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38" s="9">
        <f>'Metric Form'!O28</f>
        <v>0</v>
      </c>
      <c r="G38">
        <v>1</v>
      </c>
      <c r="H38" s="6" t="e">
        <f>VLOOKUP(Codes!$G$50,Codes!$A$2:$J$41,MATCH(Codes!$I$50,Codes!$A$1:$J$1,))</f>
        <v>#N/A</v>
      </c>
      <c r="I38" s="6" t="e">
        <f>VLOOKUP(Codes!$G$50,Codes!$A$2:$J$41,MATCH(Codes!$I$53,Codes!$A$1:$J$1,))</f>
        <v>#N/A</v>
      </c>
      <c r="J38" s="6" t="e">
        <f>VLOOKUP(Codes!$G$50,Codes!$A$2:$J$41,MATCH(Codes!$I$54,Codes!$A$1:$J$1,))</f>
        <v>#N/A</v>
      </c>
      <c r="P38" s="6" t="e">
        <f>VLOOKUP(Codes!$G$50,Codes!$A$1:$I$41,MATCH(Codes!$I$55,Codes!$A$1:$I$1,))</f>
        <v>#N/A</v>
      </c>
      <c r="Q38">
        <f>Codes!$G$52</f>
        <v>0</v>
      </c>
      <c r="R38">
        <f>Codes!G53</f>
        <v>0</v>
      </c>
      <c r="S38">
        <v>0</v>
      </c>
      <c r="T38">
        <f>Codes!$G$50</f>
        <v>0</v>
      </c>
      <c r="V38">
        <f>Codes!$C$52</f>
        <v>0</v>
      </c>
      <c r="W38" t="s">
        <v>327</v>
      </c>
      <c r="X38">
        <f>Codes!$B$54</f>
        <v>0</v>
      </c>
      <c r="Y38" t="str">
        <f>'Metric Form'!$D$8</f>
        <v>Cabinetmart Inc</v>
      </c>
      <c r="Z38">
        <f>'Metric Form'!$D$10</f>
        <v>0</v>
      </c>
      <c r="AA38" t="str">
        <f>IF(Codes!$G$54="YES","FINGER PULLS","")</f>
        <v/>
      </c>
      <c r="AB38" t="str">
        <f>IF($E38="Door Style 125","HOGGsNEW",IF(Codes!$G$50="10 600","HOGGsNEW",IF(Codes!$G$50="RILEY","HOGGs","")))</f>
        <v/>
      </c>
      <c r="AC38" t="str">
        <f t="shared" si="7"/>
        <v/>
      </c>
    </row>
    <row r="39" spans="1:29" x14ac:dyDescent="0.15">
      <c r="A39" s="10">
        <f>'Metric Form'!P29</f>
        <v>0</v>
      </c>
      <c r="B39" s="10">
        <f>'Metric Form'!Q29</f>
        <v>0</v>
      </c>
      <c r="C39" s="8">
        <f t="shared" si="9"/>
        <v>0</v>
      </c>
      <c r="D39" s="8">
        <f t="shared" si="9"/>
        <v>0</v>
      </c>
      <c r="E39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39" s="9">
        <f>'Metric Form'!O29</f>
        <v>0</v>
      </c>
      <c r="G39">
        <v>1</v>
      </c>
      <c r="H39" s="6" t="e">
        <f>VLOOKUP(Codes!$G$50,Codes!$A$2:$J$41,MATCH(Codes!$I$50,Codes!$A$1:$J$1,))</f>
        <v>#N/A</v>
      </c>
      <c r="I39" s="6" t="e">
        <f>VLOOKUP(Codes!$G$50,Codes!$A$2:$J$41,MATCH(Codes!$I$53,Codes!$A$1:$J$1,))</f>
        <v>#N/A</v>
      </c>
      <c r="J39" s="6" t="e">
        <f>VLOOKUP(Codes!$G$50,Codes!$A$2:$J$41,MATCH(Codes!$I$54,Codes!$A$1:$J$1,))</f>
        <v>#N/A</v>
      </c>
      <c r="P39" s="6" t="e">
        <f>VLOOKUP(Codes!$G$50,Codes!$A$1:$I$41,MATCH(Codes!$I$55,Codes!$A$1:$I$1,))</f>
        <v>#N/A</v>
      </c>
      <c r="Q39">
        <f>Codes!$G$52</f>
        <v>0</v>
      </c>
      <c r="R39">
        <f>Codes!G53</f>
        <v>0</v>
      </c>
      <c r="S39">
        <v>0</v>
      </c>
      <c r="T39">
        <f>Codes!$G$50</f>
        <v>0</v>
      </c>
      <c r="V39">
        <f>Codes!$C$52</f>
        <v>0</v>
      </c>
      <c r="W39" t="s">
        <v>327</v>
      </c>
      <c r="X39">
        <f>Codes!$B$54</f>
        <v>0</v>
      </c>
      <c r="Y39" t="str">
        <f>'Metric Form'!$D$8</f>
        <v>Cabinetmart Inc</v>
      </c>
      <c r="Z39">
        <f>'Metric Form'!$D$10</f>
        <v>0</v>
      </c>
      <c r="AA39" t="str">
        <f>IF(Codes!$G$54="YES","FINGER PULLS","")</f>
        <v/>
      </c>
      <c r="AB39" t="str">
        <f>IF($E39="Door Style 125","HOGGsNEW",IF(Codes!$G$50="10 600","HOGGsNEW",IF(Codes!$G$50="RILEY","HOGGs","")))</f>
        <v/>
      </c>
      <c r="AC39" t="str">
        <f t="shared" si="7"/>
        <v/>
      </c>
    </row>
    <row r="40" spans="1:29" x14ac:dyDescent="0.15">
      <c r="A40" s="10">
        <f>'Metric Form'!P30</f>
        <v>0</v>
      </c>
      <c r="B40" s="10">
        <f>'Metric Form'!Q30</f>
        <v>0</v>
      </c>
      <c r="C40" s="8">
        <f t="shared" si="9"/>
        <v>0</v>
      </c>
      <c r="D40" s="8">
        <f t="shared" si="9"/>
        <v>0</v>
      </c>
      <c r="E40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40" s="9">
        <f>'Metric Form'!O30</f>
        <v>0</v>
      </c>
      <c r="G40">
        <v>1</v>
      </c>
      <c r="H40" s="6" t="e">
        <f>VLOOKUP(Codes!$G$50,Codes!$A$2:$J$41,MATCH(Codes!$I$50,Codes!$A$1:$J$1,))</f>
        <v>#N/A</v>
      </c>
      <c r="I40" s="6" t="e">
        <f>VLOOKUP(Codes!$G$50,Codes!$A$2:$J$41,MATCH(Codes!$I$53,Codes!$A$1:$J$1,))</f>
        <v>#N/A</v>
      </c>
      <c r="J40" s="6" t="e">
        <f>VLOOKUP(Codes!$G$50,Codes!$A$2:$J$41,MATCH(Codes!$I$54,Codes!$A$1:$J$1,))</f>
        <v>#N/A</v>
      </c>
      <c r="P40" s="6" t="e">
        <f>VLOOKUP(Codes!$G$50,Codes!$A$1:$I$41,MATCH(Codes!$I$55,Codes!$A$1:$I$1,))</f>
        <v>#N/A</v>
      </c>
      <c r="Q40">
        <f>Codes!$G$52</f>
        <v>0</v>
      </c>
      <c r="R40">
        <f>Codes!G53</f>
        <v>0</v>
      </c>
      <c r="S40">
        <v>0</v>
      </c>
      <c r="T40">
        <f>Codes!$G$50</f>
        <v>0</v>
      </c>
      <c r="V40">
        <f>Codes!$C$52</f>
        <v>0</v>
      </c>
      <c r="W40" t="s">
        <v>327</v>
      </c>
      <c r="X40">
        <f>Codes!$B$54</f>
        <v>0</v>
      </c>
      <c r="Y40" t="str">
        <f>'Metric Form'!$D$8</f>
        <v>Cabinetmart Inc</v>
      </c>
      <c r="Z40">
        <f>'Metric Form'!$D$10</f>
        <v>0</v>
      </c>
      <c r="AA40" t="str">
        <f>IF(Codes!$G$54="YES","FINGER PULLS","")</f>
        <v/>
      </c>
      <c r="AB40" t="str">
        <f>IF($E40="Door Style 125","HOGGsNEW",IF(Codes!$G$50="10 600","HOGGsNEW",IF(Codes!$G$50="RILEY","HOGGs","")))</f>
        <v/>
      </c>
      <c r="AC40" t="str">
        <f t="shared" si="7"/>
        <v/>
      </c>
    </row>
    <row r="41" spans="1:29" x14ac:dyDescent="0.15">
      <c r="A41" s="10">
        <f>'Metric Form'!P31</f>
        <v>0</v>
      </c>
      <c r="B41" s="10">
        <f>'Metric Form'!Q31</f>
        <v>0</v>
      </c>
      <c r="C41" s="8">
        <f t="shared" si="9"/>
        <v>0</v>
      </c>
      <c r="D41" s="8">
        <f t="shared" si="9"/>
        <v>0</v>
      </c>
      <c r="E41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41" s="9">
        <f>'Metric Form'!O31</f>
        <v>0</v>
      </c>
      <c r="G41">
        <v>1</v>
      </c>
      <c r="H41" s="6" t="e">
        <f>VLOOKUP(Codes!$G$50,Codes!$A$2:$J$41,MATCH(Codes!$I$50,Codes!$A$1:$J$1,))</f>
        <v>#N/A</v>
      </c>
      <c r="I41" s="6" t="e">
        <f>VLOOKUP(Codes!$G$50,Codes!$A$2:$J$41,MATCH(Codes!$I$53,Codes!$A$1:$J$1,))</f>
        <v>#N/A</v>
      </c>
      <c r="J41" s="6" t="e">
        <f>VLOOKUP(Codes!$G$50,Codes!$A$2:$J$41,MATCH(Codes!$I$54,Codes!$A$1:$J$1,))</f>
        <v>#N/A</v>
      </c>
      <c r="P41" s="6" t="e">
        <f>VLOOKUP(Codes!$G$50,Codes!$A$1:$I$41,MATCH(Codes!$I$55,Codes!$A$1:$I$1,))</f>
        <v>#N/A</v>
      </c>
      <c r="Q41">
        <f>Codes!$G$52</f>
        <v>0</v>
      </c>
      <c r="R41">
        <f>Codes!G53</f>
        <v>0</v>
      </c>
      <c r="S41">
        <v>0</v>
      </c>
      <c r="T41">
        <f>Codes!$G$50</f>
        <v>0</v>
      </c>
      <c r="V41">
        <f>Codes!$C$52</f>
        <v>0</v>
      </c>
      <c r="W41" t="s">
        <v>327</v>
      </c>
      <c r="X41">
        <f>Codes!$B$54</f>
        <v>0</v>
      </c>
      <c r="Y41" t="str">
        <f>'Metric Form'!$D$8</f>
        <v>Cabinetmart Inc</v>
      </c>
      <c r="Z41">
        <f>'Metric Form'!$D$10</f>
        <v>0</v>
      </c>
      <c r="AA41" t="str">
        <f>IF(Codes!$G$54="YES","FINGER PULLS","")</f>
        <v/>
      </c>
      <c r="AB41" t="str">
        <f>IF($E41="Door Style 125","HOGGsNEW",IF(Codes!$G$50="10 600","HOGGsNEW",IF(Codes!$G$50="RILEY","HOGGs","")))</f>
        <v/>
      </c>
      <c r="AC41" t="str">
        <f t="shared" si="7"/>
        <v/>
      </c>
    </row>
    <row r="42" spans="1:29" x14ac:dyDescent="0.15">
      <c r="A42" s="10">
        <f>'Metric Form'!P32</f>
        <v>0</v>
      </c>
      <c r="B42" s="10">
        <f>'Metric Form'!Q32</f>
        <v>0</v>
      </c>
      <c r="C42" s="8">
        <f t="shared" si="9"/>
        <v>0</v>
      </c>
      <c r="D42" s="8">
        <f t="shared" si="9"/>
        <v>0</v>
      </c>
      <c r="E42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42" s="9">
        <f>'Metric Form'!O32</f>
        <v>0</v>
      </c>
      <c r="G42">
        <v>1</v>
      </c>
      <c r="H42" s="6" t="e">
        <f>VLOOKUP(Codes!$G$50,Codes!$A$2:$J$41,MATCH(Codes!$I$50,Codes!$A$1:$J$1,))</f>
        <v>#N/A</v>
      </c>
      <c r="I42" s="6" t="e">
        <f>VLOOKUP(Codes!$G$50,Codes!$A$2:$J$41,MATCH(Codes!$I$53,Codes!$A$1:$J$1,))</f>
        <v>#N/A</v>
      </c>
      <c r="J42" s="6" t="e">
        <f>VLOOKUP(Codes!$G$50,Codes!$A$2:$J$41,MATCH(Codes!$I$54,Codes!$A$1:$J$1,))</f>
        <v>#N/A</v>
      </c>
      <c r="P42" s="6" t="e">
        <f>VLOOKUP(Codes!$G$50,Codes!$A$1:$I$41,MATCH(Codes!$I$55,Codes!$A$1:$I$1,))</f>
        <v>#N/A</v>
      </c>
      <c r="Q42">
        <f>Codes!$G$52</f>
        <v>0</v>
      </c>
      <c r="R42">
        <f>Codes!G53</f>
        <v>0</v>
      </c>
      <c r="S42">
        <v>0</v>
      </c>
      <c r="T42">
        <f>Codes!$G$50</f>
        <v>0</v>
      </c>
      <c r="V42">
        <f>Codes!$C$52</f>
        <v>0</v>
      </c>
      <c r="W42" t="s">
        <v>327</v>
      </c>
      <c r="X42">
        <f>Codes!$B$54</f>
        <v>0</v>
      </c>
      <c r="Y42" t="str">
        <f>'Metric Form'!$D$8</f>
        <v>Cabinetmart Inc</v>
      </c>
      <c r="Z42">
        <f>'Metric Form'!$D$10</f>
        <v>0</v>
      </c>
      <c r="AA42" t="str">
        <f>IF(Codes!$G$54="YES","FINGER PULLS","")</f>
        <v/>
      </c>
      <c r="AB42" t="str">
        <f>IF($E42="Door Style 125","HOGGsNEW",IF(Codes!$G$50="10 600","HOGGsNEW",IF(Codes!$G$50="RILEY","HOGGs","")))</f>
        <v/>
      </c>
      <c r="AC42" t="str">
        <f t="shared" si="7"/>
        <v/>
      </c>
    </row>
    <row r="43" spans="1:29" x14ac:dyDescent="0.15">
      <c r="A43" s="10">
        <f>'Metric Form'!P33</f>
        <v>0</v>
      </c>
      <c r="B43" s="10">
        <f>'Metric Form'!Q33</f>
        <v>0</v>
      </c>
      <c r="C43" s="8">
        <f t="shared" si="9"/>
        <v>0</v>
      </c>
      <c r="D43" s="8">
        <f t="shared" si="9"/>
        <v>0</v>
      </c>
      <c r="E43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43" s="9">
        <f>'Metric Form'!O33</f>
        <v>0</v>
      </c>
      <c r="G43">
        <v>1</v>
      </c>
      <c r="H43" s="6" t="e">
        <f>VLOOKUP(Codes!$G$50,Codes!$A$2:$J$41,MATCH(Codes!$I$50,Codes!$A$1:$J$1,))</f>
        <v>#N/A</v>
      </c>
      <c r="I43" s="6" t="e">
        <f>VLOOKUP(Codes!$G$50,Codes!$A$2:$J$41,MATCH(Codes!$I$53,Codes!$A$1:$J$1,))</f>
        <v>#N/A</v>
      </c>
      <c r="J43" s="6" t="e">
        <f>VLOOKUP(Codes!$G$50,Codes!$A$2:$J$41,MATCH(Codes!$I$54,Codes!$A$1:$J$1,))</f>
        <v>#N/A</v>
      </c>
      <c r="P43" s="6" t="e">
        <f>VLOOKUP(Codes!$G$50,Codes!$A$1:$I$41,MATCH(Codes!$I$55,Codes!$A$1:$I$1,))</f>
        <v>#N/A</v>
      </c>
      <c r="Q43">
        <f>Codes!$G$52</f>
        <v>0</v>
      </c>
      <c r="R43">
        <f>Codes!G53</f>
        <v>0</v>
      </c>
      <c r="S43">
        <v>0</v>
      </c>
      <c r="T43">
        <f>Codes!$G$50</f>
        <v>0</v>
      </c>
      <c r="V43">
        <f>Codes!$C$52</f>
        <v>0</v>
      </c>
      <c r="W43" t="s">
        <v>327</v>
      </c>
      <c r="X43">
        <f>Codes!$B$54</f>
        <v>0</v>
      </c>
      <c r="Y43" t="str">
        <f>'Metric Form'!$D$8</f>
        <v>Cabinetmart Inc</v>
      </c>
      <c r="Z43">
        <f>'Metric Form'!$D$10</f>
        <v>0</v>
      </c>
      <c r="AA43" t="str">
        <f>IF(Codes!$G$54="YES","FINGER PULLS","")</f>
        <v/>
      </c>
      <c r="AB43" t="str">
        <f>IF($E43="Door Style 125","HOGGsNEW",IF(Codes!$G$50="10 600","HOGGsNEW",IF(Codes!$G$50="RILEY","HOGGs","")))</f>
        <v/>
      </c>
      <c r="AC43" t="str">
        <f t="shared" si="7"/>
        <v/>
      </c>
    </row>
    <row r="44" spans="1:29" x14ac:dyDescent="0.15">
      <c r="A44" s="10">
        <f>'Metric Form'!P34</f>
        <v>0</v>
      </c>
      <c r="B44" s="10">
        <f>'Metric Form'!Q34</f>
        <v>0</v>
      </c>
      <c r="C44" s="8">
        <f t="shared" si="9"/>
        <v>0</v>
      </c>
      <c r="D44" s="8">
        <f t="shared" si="9"/>
        <v>0</v>
      </c>
      <c r="E44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44" s="9">
        <f>'Metric Form'!O34</f>
        <v>0</v>
      </c>
      <c r="G44">
        <v>1</v>
      </c>
      <c r="H44" s="6" t="e">
        <f>VLOOKUP(Codes!$G$50,Codes!$A$2:$J$41,MATCH(Codes!$I$50,Codes!$A$1:$J$1,))</f>
        <v>#N/A</v>
      </c>
      <c r="I44" s="6" t="e">
        <f>VLOOKUP(Codes!$G$50,Codes!$A$2:$J$41,MATCH(Codes!$I$53,Codes!$A$1:$J$1,))</f>
        <v>#N/A</v>
      </c>
      <c r="J44" s="6" t="e">
        <f>VLOOKUP(Codes!$G$50,Codes!$A$2:$J$41,MATCH(Codes!$I$54,Codes!$A$1:$J$1,))</f>
        <v>#N/A</v>
      </c>
      <c r="P44" s="6" t="e">
        <f>VLOOKUP(Codes!$G$50,Codes!$A$1:$I$41,MATCH(Codes!$I$55,Codes!$A$1:$I$1,))</f>
        <v>#N/A</v>
      </c>
      <c r="Q44">
        <f>Codes!$G$52</f>
        <v>0</v>
      </c>
      <c r="R44">
        <f>Codes!G53</f>
        <v>0</v>
      </c>
      <c r="S44">
        <v>0</v>
      </c>
      <c r="T44">
        <f>Codes!$G$50</f>
        <v>0</v>
      </c>
      <c r="V44">
        <f>Codes!$C$52</f>
        <v>0</v>
      </c>
      <c r="W44" t="s">
        <v>327</v>
      </c>
      <c r="X44">
        <f>Codes!$B$54</f>
        <v>0</v>
      </c>
      <c r="Y44" t="str">
        <f>'Metric Form'!$D$8</f>
        <v>Cabinetmart Inc</v>
      </c>
      <c r="Z44">
        <f>'Metric Form'!$D$10</f>
        <v>0</v>
      </c>
      <c r="AA44" t="str">
        <f>IF(Codes!$G$54="YES","FINGER PULLS","")</f>
        <v/>
      </c>
      <c r="AB44" t="str">
        <f>IF($E44="Door Style 125","HOGGsNEW",IF(Codes!$G$50="10 600","HOGGsNEW",IF(Codes!$G$50="RILEY","HOGGs","")))</f>
        <v/>
      </c>
      <c r="AC44" t="str">
        <f t="shared" si="7"/>
        <v/>
      </c>
    </row>
    <row r="45" spans="1:29" x14ac:dyDescent="0.15">
      <c r="A45" s="10">
        <f>'Metric Form'!P35</f>
        <v>0</v>
      </c>
      <c r="B45" s="10">
        <f>'Metric Form'!Q35</f>
        <v>0</v>
      </c>
      <c r="C45" s="8">
        <f t="shared" si="9"/>
        <v>0</v>
      </c>
      <c r="D45" s="8">
        <f t="shared" si="9"/>
        <v>0</v>
      </c>
      <c r="E45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45" s="9">
        <f>'Metric Form'!O35</f>
        <v>0</v>
      </c>
      <c r="G45">
        <v>1</v>
      </c>
      <c r="H45" s="6" t="e">
        <f>VLOOKUP(Codes!$G$50,Codes!$A$2:$J$41,MATCH(Codes!$I$50,Codes!$A$1:$J$1,))</f>
        <v>#N/A</v>
      </c>
      <c r="I45" s="6" t="e">
        <f>VLOOKUP(Codes!$G$50,Codes!$A$2:$J$41,MATCH(Codes!$I$53,Codes!$A$1:$J$1,))</f>
        <v>#N/A</v>
      </c>
      <c r="J45" s="6" t="e">
        <f>VLOOKUP(Codes!$G$50,Codes!$A$2:$J$41,MATCH(Codes!$I$54,Codes!$A$1:$J$1,))</f>
        <v>#N/A</v>
      </c>
      <c r="P45" s="6" t="e">
        <f>VLOOKUP(Codes!$G$50,Codes!$A$1:$I$41,MATCH(Codes!$I$55,Codes!$A$1:$I$1,))</f>
        <v>#N/A</v>
      </c>
      <c r="Q45">
        <f>Codes!$G$52</f>
        <v>0</v>
      </c>
      <c r="R45">
        <f>Codes!G53</f>
        <v>0</v>
      </c>
      <c r="S45">
        <v>0</v>
      </c>
      <c r="T45">
        <f>Codes!$G$50</f>
        <v>0</v>
      </c>
      <c r="V45">
        <f>Codes!$C$52</f>
        <v>0</v>
      </c>
      <c r="W45" t="s">
        <v>327</v>
      </c>
      <c r="X45">
        <f>Codes!$B$54</f>
        <v>0</v>
      </c>
      <c r="Y45" t="str">
        <f>'Metric Form'!$D$8</f>
        <v>Cabinetmart Inc</v>
      </c>
      <c r="Z45">
        <f>'Metric Form'!$D$10</f>
        <v>0</v>
      </c>
      <c r="AA45" t="str">
        <f>IF(Codes!$G$54="YES","FINGER PULLS","")</f>
        <v/>
      </c>
      <c r="AB45" t="str">
        <f>IF($E45="Door Style 125","HOGGsNEW",IF(Codes!$G$50="10 600","HOGGsNEW",IF(Codes!$G$50="RILEY","HOGGs","")))</f>
        <v/>
      </c>
      <c r="AC45" t="str">
        <f t="shared" si="7"/>
        <v/>
      </c>
    </row>
    <row r="46" spans="1:29" x14ac:dyDescent="0.15">
      <c r="A46" s="10">
        <f>'Metric Form'!P36</f>
        <v>0</v>
      </c>
      <c r="B46" s="10">
        <f>'Metric Form'!Q36</f>
        <v>0</v>
      </c>
      <c r="C46" s="8">
        <f t="shared" si="9"/>
        <v>0</v>
      </c>
      <c r="D46" s="8">
        <f t="shared" si="9"/>
        <v>0</v>
      </c>
      <c r="E46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46" s="9">
        <f>'Metric Form'!O36</f>
        <v>0</v>
      </c>
      <c r="G46">
        <v>1</v>
      </c>
      <c r="H46" s="6" t="e">
        <f>VLOOKUP(Codes!$G$50,Codes!$A$2:$J$41,MATCH(Codes!$I$50,Codes!$A$1:$J$1,))</f>
        <v>#N/A</v>
      </c>
      <c r="I46" s="6" t="e">
        <f>VLOOKUP(Codes!$G$50,Codes!$A$2:$J$41,MATCH(Codes!$I$53,Codes!$A$1:$J$1,))</f>
        <v>#N/A</v>
      </c>
      <c r="J46" s="6" t="e">
        <f>VLOOKUP(Codes!$G$50,Codes!$A$2:$J$41,MATCH(Codes!$I$54,Codes!$A$1:$J$1,))</f>
        <v>#N/A</v>
      </c>
      <c r="P46" s="6" t="e">
        <f>VLOOKUP(Codes!$G$50,Codes!$A$1:$I$41,MATCH(Codes!$I$55,Codes!$A$1:$I$1,))</f>
        <v>#N/A</v>
      </c>
      <c r="Q46">
        <f>Codes!$G$52</f>
        <v>0</v>
      </c>
      <c r="R46">
        <f>Codes!G53</f>
        <v>0</v>
      </c>
      <c r="S46">
        <v>0</v>
      </c>
      <c r="T46">
        <f>Codes!$G$50</f>
        <v>0</v>
      </c>
      <c r="V46">
        <f>Codes!$C$52</f>
        <v>0</v>
      </c>
      <c r="W46" t="s">
        <v>327</v>
      </c>
      <c r="X46">
        <f>Codes!$B$54</f>
        <v>0</v>
      </c>
      <c r="Y46" t="str">
        <f>'Metric Form'!$D$8</f>
        <v>Cabinetmart Inc</v>
      </c>
      <c r="Z46">
        <f>'Metric Form'!$D$10</f>
        <v>0</v>
      </c>
      <c r="AA46" t="str">
        <f>IF(Codes!$G$54="YES","FINGER PULLS","")</f>
        <v/>
      </c>
      <c r="AB46" t="str">
        <f>IF($E46="Door Style 125","HOGGsNEW",IF(Codes!$G$50="10 600","HOGGsNEW",IF(Codes!$G$50="RILEY","HOGGs","")))</f>
        <v/>
      </c>
      <c r="AC46" t="str">
        <f t="shared" si="7"/>
        <v/>
      </c>
    </row>
    <row r="47" spans="1:29" x14ac:dyDescent="0.15">
      <c r="A47" s="10">
        <f>'Metric Form'!P37</f>
        <v>0</v>
      </c>
      <c r="B47" s="10">
        <f>'Metric Form'!Q37</f>
        <v>0</v>
      </c>
      <c r="C47" s="8">
        <f t="shared" si="9"/>
        <v>0</v>
      </c>
      <c r="D47" s="8">
        <f t="shared" si="9"/>
        <v>0</v>
      </c>
      <c r="E47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47" s="9">
        <f>'Metric Form'!O37</f>
        <v>0</v>
      </c>
      <c r="G47">
        <v>1</v>
      </c>
      <c r="H47" s="6" t="e">
        <f>VLOOKUP(Codes!$G$50,Codes!$A$2:$J$41,MATCH(Codes!$I$50,Codes!$A$1:$J$1,))</f>
        <v>#N/A</v>
      </c>
      <c r="I47" s="6" t="e">
        <f>VLOOKUP(Codes!$G$50,Codes!$A$2:$J$41,MATCH(Codes!$I$53,Codes!$A$1:$J$1,))</f>
        <v>#N/A</v>
      </c>
      <c r="J47" s="6" t="e">
        <f>VLOOKUP(Codes!$G$50,Codes!$A$2:$J$41,MATCH(Codes!$I$54,Codes!$A$1:$J$1,))</f>
        <v>#N/A</v>
      </c>
      <c r="P47" s="6" t="e">
        <f>VLOOKUP(Codes!$G$50,Codes!$A$1:$I$41,MATCH(Codes!$I$55,Codes!$A$1:$I$1,))</f>
        <v>#N/A</v>
      </c>
      <c r="Q47">
        <f>Codes!$G$52</f>
        <v>0</v>
      </c>
      <c r="R47">
        <f>Codes!G53</f>
        <v>0</v>
      </c>
      <c r="S47">
        <v>0</v>
      </c>
      <c r="T47">
        <f>Codes!$G$50</f>
        <v>0</v>
      </c>
      <c r="V47">
        <f>Codes!$C$52</f>
        <v>0</v>
      </c>
      <c r="W47" t="s">
        <v>327</v>
      </c>
      <c r="X47">
        <f>Codes!$B$54</f>
        <v>0</v>
      </c>
      <c r="Y47" t="str">
        <f>'Metric Form'!$D$8</f>
        <v>Cabinetmart Inc</v>
      </c>
      <c r="Z47">
        <f>'Metric Form'!$D$10</f>
        <v>0</v>
      </c>
      <c r="AA47" t="str">
        <f>IF(Codes!$G$54="YES","FINGER PULLS","")</f>
        <v/>
      </c>
      <c r="AB47" t="str">
        <f>IF($E47="Door Style 125","HOGGsNEW",IF(Codes!$G$50="10 600","HOGGsNEW",IF(Codes!$G$50="RILEY","HOGGs","")))</f>
        <v/>
      </c>
      <c r="AC47" t="str">
        <f t="shared" si="7"/>
        <v/>
      </c>
    </row>
    <row r="48" spans="1:29" x14ac:dyDescent="0.15">
      <c r="A48" s="10">
        <f>'Metric Form'!P38</f>
        <v>0</v>
      </c>
      <c r="B48" s="10">
        <f>'Metric Form'!Q38</f>
        <v>0</v>
      </c>
      <c r="C48" s="8">
        <f t="shared" si="9"/>
        <v>0</v>
      </c>
      <c r="D48" s="8">
        <f t="shared" si="9"/>
        <v>0</v>
      </c>
      <c r="E48" t="str">
        <f>IF(Codes!$B$59="10 000ROUTED","Door Style 126",IF(Codes!$B$59="10 500ROUTED","Door Style 125",IF(Codes!$B$59="10 600ROUTED","Door Style 126",IF(Codes!$C$52="ROUTED","Door Style 101","Door Style 117"))))</f>
        <v>Door Style 117</v>
      </c>
      <c r="F48" s="9">
        <f>'Metric Form'!O38</f>
        <v>0</v>
      </c>
      <c r="G48">
        <v>1</v>
      </c>
      <c r="H48" s="6" t="e">
        <f>VLOOKUP(Codes!$G$50,Codes!$A$2:$J$41,MATCH(Codes!$I$50,Codes!$A$1:$J$1,))</f>
        <v>#N/A</v>
      </c>
      <c r="I48" s="6" t="e">
        <f>VLOOKUP(Codes!$G$50,Codes!$A$2:$J$41,MATCH(Codes!$I$53,Codes!$A$1:$J$1,))</f>
        <v>#N/A</v>
      </c>
      <c r="J48" s="6" t="e">
        <f>VLOOKUP(Codes!$G$50,Codes!$A$2:$J$41,MATCH(Codes!$I$54,Codes!$A$1:$J$1,))</f>
        <v>#N/A</v>
      </c>
      <c r="P48" s="6" t="e">
        <f>VLOOKUP(Codes!$G$50,Codes!$A$1:$I$41,MATCH(Codes!$I$55,Codes!$A$1:$I$1,))</f>
        <v>#N/A</v>
      </c>
      <c r="Q48">
        <f>Codes!$G$52</f>
        <v>0</v>
      </c>
      <c r="R48">
        <f>Codes!G53</f>
        <v>0</v>
      </c>
      <c r="S48">
        <v>0</v>
      </c>
      <c r="T48">
        <f>Codes!$G$50</f>
        <v>0</v>
      </c>
      <c r="V48">
        <f>Codes!$C$52</f>
        <v>0</v>
      </c>
      <c r="W48" t="s">
        <v>327</v>
      </c>
      <c r="X48">
        <f>Codes!$B$54</f>
        <v>0</v>
      </c>
      <c r="Y48" t="str">
        <f>'Metric Form'!$D$8</f>
        <v>Cabinetmart Inc</v>
      </c>
      <c r="Z48">
        <f>'Metric Form'!$D$10</f>
        <v>0</v>
      </c>
      <c r="AA48" t="str">
        <f>IF(Codes!$G$54="YES","FINGER PULLS","")</f>
        <v/>
      </c>
      <c r="AB48" t="str">
        <f>IF($E48="Door Style 125","HOGGsNEW",IF(Codes!$G$50="10 600","HOGGsNEW",IF(Codes!$G$50="RILEY","HOGGs","")))</f>
        <v/>
      </c>
      <c r="AC48" t="str">
        <f t="shared" si="7"/>
        <v/>
      </c>
    </row>
    <row r="49" spans="1:29" x14ac:dyDescent="0.15">
      <c r="C49" s="8"/>
      <c r="D49" s="8"/>
      <c r="H49" s="6"/>
      <c r="I49" s="6"/>
      <c r="J49" s="6"/>
      <c r="P49" s="6"/>
    </row>
    <row r="50" spans="1:29" x14ac:dyDescent="0.15">
      <c r="A50" s="10">
        <f>'Metric Form'!E44</f>
        <v>0</v>
      </c>
      <c r="B50" s="10">
        <f>'Metric Form'!F44</f>
        <v>0</v>
      </c>
      <c r="C50" s="8">
        <f t="shared" ref="C50:D53" si="10">A50</f>
        <v>0</v>
      </c>
      <c r="D50" s="8">
        <f t="shared" si="10"/>
        <v>0</v>
      </c>
      <c r="E50" t="str">
        <f>IF(Codes!$C$50="ARCH","Door Style 102",IF(Codes!$C$50="SQUARE","Door Style 101",IF(Codes!$C$50="CATHEDRAL","Door Style 103","Door Style 101")))</f>
        <v>Door Style 101</v>
      </c>
      <c r="F50" s="6">
        <f>'Metric Form'!D44</f>
        <v>0</v>
      </c>
      <c r="G50">
        <v>1</v>
      </c>
      <c r="H50" s="6" t="e">
        <f>VLOOKUP(Codes!$G$50,Codes!$A$2:$J$41,MATCH(Codes!$I$50,Codes!$A$1:$J$1,))</f>
        <v>#N/A</v>
      </c>
      <c r="I50" s="6" t="e">
        <f>VLOOKUP(Codes!$G$50,Codes!$A$2:$J$41,MATCH(Codes!$I$51,Codes!$A$1:$J$1,))</f>
        <v>#N/A</v>
      </c>
      <c r="J50" s="6" t="e">
        <f>VLOOKUP(Codes!$G$50,Codes!$A$2:$J$41,MATCH(Codes!$I$52,Codes!$A$1:$J$1,))</f>
        <v>#N/A</v>
      </c>
      <c r="K50" t="str">
        <f t="shared" ref="K50:K58" si="11">IF($E50="Door Style 102","31",IF($E50="Door Style 214","31",""))</f>
        <v/>
      </c>
      <c r="L50" t="str">
        <f>IF($E50="Door Style 3b","40",IF($E50="Door Style 106","40",""))</f>
        <v/>
      </c>
      <c r="M50" t="str">
        <f>IF($E50="Door Style 106","0.32","")</f>
        <v/>
      </c>
      <c r="N50" t="str">
        <f t="shared" si="4"/>
        <v/>
      </c>
      <c r="O50" t="str">
        <f t="shared" si="5"/>
        <v/>
      </c>
      <c r="P50" s="6" t="e">
        <f>VLOOKUP(Codes!$G$50,Codes!$A$1:$I$41,MATCH(Codes!$I$55,Codes!$A$1:$I$1,))</f>
        <v>#N/A</v>
      </c>
      <c r="Q50">
        <f>Codes!$G$52</f>
        <v>0</v>
      </c>
      <c r="R50">
        <f>Codes!G53</f>
        <v>0</v>
      </c>
      <c r="S50">
        <f t="shared" ref="S50:S61" si="12">IF($R50="MATCHING","1",0)</f>
        <v>0</v>
      </c>
      <c r="T50">
        <f>Codes!$G$50</f>
        <v>0</v>
      </c>
      <c r="U50">
        <f>Codes!$G$51</f>
        <v>0</v>
      </c>
      <c r="V50">
        <f>Codes!$C$50</f>
        <v>0</v>
      </c>
      <c r="W50" t="s">
        <v>328</v>
      </c>
      <c r="X50">
        <f>Codes!$B$54</f>
        <v>0</v>
      </c>
      <c r="Y50" t="str">
        <f>'Metric Form'!$D$8</f>
        <v>Cabinetmart Inc</v>
      </c>
      <c r="Z50">
        <f>'Metric Form'!$D$10</f>
        <v>0</v>
      </c>
      <c r="AA50" t="str">
        <f>IF(Codes!$G$54="YES","FINGER PULLS","")</f>
        <v/>
      </c>
      <c r="AB50" t="str">
        <f>IF($E50="Door Style 125","HOGGsNEW",IF(Codes!$G$50="10 600","HOGGsNEW",IF(Codes!$G$50="RILEY","HOGGs","")))</f>
        <v/>
      </c>
      <c r="AC50" t="str">
        <f t="shared" si="7"/>
        <v/>
      </c>
    </row>
    <row r="51" spans="1:29" x14ac:dyDescent="0.15">
      <c r="A51" s="10">
        <f>'Metric Form'!E45</f>
        <v>0</v>
      </c>
      <c r="B51" s="10">
        <f>'Metric Form'!F45</f>
        <v>0</v>
      </c>
      <c r="C51" s="8">
        <f t="shared" si="10"/>
        <v>0</v>
      </c>
      <c r="D51" s="8">
        <f t="shared" si="10"/>
        <v>0</v>
      </c>
      <c r="E51" t="str">
        <f>IF(Codes!$C$50="ARCH","Door Style 102",IF(Codes!$C$50="SQUARE","Door Style 101",IF(Codes!$C$50="CATHEDRAL","Door Style 103","Door Style 101")))</f>
        <v>Door Style 101</v>
      </c>
      <c r="F51" s="6">
        <f>'Metric Form'!D45</f>
        <v>0</v>
      </c>
      <c r="G51">
        <v>1</v>
      </c>
      <c r="H51" s="6" t="e">
        <f>VLOOKUP(Codes!$G$50,Codes!$A$2:$J$41,MATCH(Codes!$I$50,Codes!$A$1:$J$1,))</f>
        <v>#N/A</v>
      </c>
      <c r="I51" s="6" t="e">
        <f>VLOOKUP(Codes!$G$50,Codes!$A$2:$J$41,MATCH(Codes!$I$51,Codes!$A$1:$J$1,))</f>
        <v>#N/A</v>
      </c>
      <c r="J51" s="6" t="e">
        <f>VLOOKUP(Codes!$G$50,Codes!$A$2:$J$41,MATCH(Codes!$I$52,Codes!$A$1:$J$1,))</f>
        <v>#N/A</v>
      </c>
      <c r="K51" t="str">
        <f t="shared" si="11"/>
        <v/>
      </c>
      <c r="L51" t="str">
        <f>IF($E51="Door Style 3b","40",IF($E51="Door Style 106","40",""))</f>
        <v/>
      </c>
      <c r="M51" t="str">
        <f>IF($E51="Door Style 106","0.32","")</f>
        <v/>
      </c>
      <c r="N51" t="str">
        <f t="shared" si="4"/>
        <v/>
      </c>
      <c r="O51" t="str">
        <f t="shared" si="5"/>
        <v/>
      </c>
      <c r="P51" s="6" t="e">
        <f>VLOOKUP(Codes!$G$50,Codes!$A$1:$I$41,MATCH(Codes!$I$55,Codes!$A$1:$I$1,))</f>
        <v>#N/A</v>
      </c>
      <c r="Q51">
        <f>Codes!$G$52</f>
        <v>0</v>
      </c>
      <c r="R51">
        <f>Codes!G53</f>
        <v>0</v>
      </c>
      <c r="S51">
        <f t="shared" si="12"/>
        <v>0</v>
      </c>
      <c r="T51">
        <f>Codes!$G$50</f>
        <v>0</v>
      </c>
      <c r="U51">
        <f>Codes!$G$51</f>
        <v>0</v>
      </c>
      <c r="V51">
        <f>Codes!$C$50</f>
        <v>0</v>
      </c>
      <c r="W51" t="s">
        <v>328</v>
      </c>
      <c r="X51">
        <f>Codes!$B$54</f>
        <v>0</v>
      </c>
      <c r="Y51" t="str">
        <f>'Metric Form'!$D$8</f>
        <v>Cabinetmart Inc</v>
      </c>
      <c r="Z51">
        <f>'Metric Form'!$D$10</f>
        <v>0</v>
      </c>
      <c r="AA51" t="str">
        <f>IF(Codes!$G$54="YES","FINGER PULLS","")</f>
        <v/>
      </c>
      <c r="AB51" t="str">
        <f>IF($E51="Door Style 125","HOGGsNEW",IF(Codes!$G$50="10 600","HOGGsNEW",IF(Codes!$G$50="RILEY","HOGGs","")))</f>
        <v/>
      </c>
      <c r="AC51" t="str">
        <f t="shared" si="7"/>
        <v/>
      </c>
    </row>
    <row r="52" spans="1:29" x14ac:dyDescent="0.15">
      <c r="A52" s="10">
        <f>'Metric Form'!E46</f>
        <v>0</v>
      </c>
      <c r="B52" s="10">
        <f>'Metric Form'!F46</f>
        <v>0</v>
      </c>
      <c r="C52" s="8">
        <f t="shared" si="10"/>
        <v>0</v>
      </c>
      <c r="D52" s="8">
        <f t="shared" si="10"/>
        <v>0</v>
      </c>
      <c r="E52" t="str">
        <f>IF(Codes!$C$50="ARCH","Door Style 102",IF(Codes!$C$50="SQUARE","Door Style 101",IF(Codes!$C$50="CATHEDRAL","Door Style 103","Door Style 101")))</f>
        <v>Door Style 101</v>
      </c>
      <c r="F52" s="6">
        <f>'Metric Form'!D46</f>
        <v>0</v>
      </c>
      <c r="G52">
        <v>1</v>
      </c>
      <c r="H52" s="6" t="e">
        <f>VLOOKUP(Codes!$G$50,Codes!$A$2:$J$41,MATCH(Codes!$I$50,Codes!$A$1:$J$1,))</f>
        <v>#N/A</v>
      </c>
      <c r="I52" s="6" t="e">
        <f>VLOOKUP(Codes!$G$50,Codes!$A$2:$J$41,MATCH(Codes!$I$51,Codes!$A$1:$J$1,))</f>
        <v>#N/A</v>
      </c>
      <c r="J52" s="6" t="e">
        <f>VLOOKUP(Codes!$G$50,Codes!$A$2:$J$41,MATCH(Codes!$I$52,Codes!$A$1:$J$1,))</f>
        <v>#N/A</v>
      </c>
      <c r="K52" t="str">
        <f t="shared" si="11"/>
        <v/>
      </c>
      <c r="L52" t="str">
        <f>IF($E52="Door Style 3b","40",IF($E52="Door Style 106","40",""))</f>
        <v/>
      </c>
      <c r="M52" t="str">
        <f>IF($E52="Door Style 106","0.32","")</f>
        <v/>
      </c>
      <c r="N52" t="str">
        <f t="shared" si="4"/>
        <v/>
      </c>
      <c r="O52" t="str">
        <f t="shared" si="5"/>
        <v/>
      </c>
      <c r="P52" s="6" t="e">
        <f>VLOOKUP(Codes!$G$50,Codes!$A$1:$I$41,MATCH(Codes!$I$55,Codes!$A$1:$I$1,))</f>
        <v>#N/A</v>
      </c>
      <c r="Q52">
        <f>Codes!$G$52</f>
        <v>0</v>
      </c>
      <c r="R52">
        <f>Codes!G53</f>
        <v>0</v>
      </c>
      <c r="S52">
        <f t="shared" si="12"/>
        <v>0</v>
      </c>
      <c r="T52">
        <f>Codes!$G$50</f>
        <v>0</v>
      </c>
      <c r="U52">
        <f>Codes!$G$51</f>
        <v>0</v>
      </c>
      <c r="V52">
        <f>Codes!$C$50</f>
        <v>0</v>
      </c>
      <c r="W52" t="s">
        <v>328</v>
      </c>
      <c r="X52">
        <f>Codes!$B$54</f>
        <v>0</v>
      </c>
      <c r="Y52" t="str">
        <f>'Metric Form'!$D$8</f>
        <v>Cabinetmart Inc</v>
      </c>
      <c r="Z52">
        <f>'Metric Form'!$D$10</f>
        <v>0</v>
      </c>
      <c r="AA52" t="str">
        <f>IF(Codes!$G$54="YES","FINGER PULLS","")</f>
        <v/>
      </c>
      <c r="AB52" t="str">
        <f>IF($E52="Door Style 125","HOGGsNEW",IF(Codes!$G$50="10 600","HOGGsNEW",IF(Codes!$G$50="RILEY","HOGGs","")))</f>
        <v/>
      </c>
      <c r="AC52" t="str">
        <f t="shared" si="7"/>
        <v/>
      </c>
    </row>
    <row r="53" spans="1:29" x14ac:dyDescent="0.15">
      <c r="A53" s="10">
        <f>'Metric Form'!E47</f>
        <v>0</v>
      </c>
      <c r="B53" s="10">
        <f>'Metric Form'!F47</f>
        <v>0</v>
      </c>
      <c r="C53" s="8">
        <f t="shared" si="10"/>
        <v>0</v>
      </c>
      <c r="D53" s="8">
        <f t="shared" si="10"/>
        <v>0</v>
      </c>
      <c r="E53" t="str">
        <f>IF(Codes!$C$50="ARCH","Door Style 102",IF(Codes!$C$50="SQUARE","Door Style 101",IF(Codes!$C$50="CATHEDRAL","Door Style 103","Door Style 101")))</f>
        <v>Door Style 101</v>
      </c>
      <c r="F53" s="6">
        <f>'Metric Form'!D47</f>
        <v>0</v>
      </c>
      <c r="G53">
        <v>1</v>
      </c>
      <c r="H53" s="6" t="e">
        <f>VLOOKUP(Codes!$G$50,Codes!$A$2:$J$41,MATCH(Codes!$I$50,Codes!$A$1:$J$1,))</f>
        <v>#N/A</v>
      </c>
      <c r="I53" s="6" t="e">
        <f>VLOOKUP(Codes!$G$50,Codes!$A$2:$J$41,MATCH(Codes!$I$51,Codes!$A$1:$J$1,))</f>
        <v>#N/A</v>
      </c>
      <c r="J53" s="6" t="e">
        <f>VLOOKUP(Codes!$G$50,Codes!$A$2:$J$41,MATCH(Codes!$I$52,Codes!$A$1:$J$1,))</f>
        <v>#N/A</v>
      </c>
      <c r="K53" t="str">
        <f t="shared" si="11"/>
        <v/>
      </c>
      <c r="L53" t="str">
        <f>IF($E53="Door Style 3b","40",IF($E53="Door Style 106","40",""))</f>
        <v/>
      </c>
      <c r="M53" t="str">
        <f>IF($E53="Door Style 106","0.32","")</f>
        <v/>
      </c>
      <c r="N53" t="str">
        <f t="shared" si="4"/>
        <v/>
      </c>
      <c r="O53" t="str">
        <f t="shared" si="5"/>
        <v/>
      </c>
      <c r="P53" s="6" t="e">
        <f>VLOOKUP(Codes!$G$50,Codes!$A$1:$I$41,MATCH(Codes!$I$55,Codes!$A$1:$I$1,))</f>
        <v>#N/A</v>
      </c>
      <c r="Q53">
        <f>Codes!$G$52</f>
        <v>0</v>
      </c>
      <c r="R53">
        <f>Codes!G53</f>
        <v>0</v>
      </c>
      <c r="S53">
        <f t="shared" si="12"/>
        <v>0</v>
      </c>
      <c r="T53">
        <f>Codes!$G$50</f>
        <v>0</v>
      </c>
      <c r="U53">
        <f>Codes!$G$51</f>
        <v>0</v>
      </c>
      <c r="V53">
        <f>Codes!$C$50</f>
        <v>0</v>
      </c>
      <c r="W53" t="s">
        <v>328</v>
      </c>
      <c r="X53">
        <f>Codes!$B$54</f>
        <v>0</v>
      </c>
      <c r="Y53" t="str">
        <f>'Metric Form'!$D$8</f>
        <v>Cabinetmart Inc</v>
      </c>
      <c r="Z53">
        <f>'Metric Form'!$D$10</f>
        <v>0</v>
      </c>
      <c r="AA53" t="str">
        <f>IF(Codes!$G$54="YES","FINGER PULLS","")</f>
        <v/>
      </c>
      <c r="AB53" t="str">
        <f>IF($E53="Door Style 125","HOGGsNEW",IF(Codes!$G$50="10 600","HOGGsNEW",IF(Codes!$G$50="RILEY","HOGGs","")))</f>
        <v/>
      </c>
      <c r="AC53" t="str">
        <f t="shared" si="7"/>
        <v/>
      </c>
    </row>
    <row r="54" spans="1:29" x14ac:dyDescent="0.15">
      <c r="C54" s="8"/>
      <c r="D54" s="8"/>
      <c r="F54" s="6"/>
      <c r="H54" s="6"/>
      <c r="I54" s="6"/>
      <c r="J54" s="6"/>
      <c r="P54" s="6"/>
    </row>
    <row r="55" spans="1:29" x14ac:dyDescent="0.15">
      <c r="A55" s="10">
        <f>'Metric Form'!E49</f>
        <v>0</v>
      </c>
      <c r="B55" s="10">
        <f>'Metric Form'!F49</f>
        <v>0</v>
      </c>
      <c r="C55" s="8">
        <f t="shared" ref="C55:D58" si="13">A55</f>
        <v>0</v>
      </c>
      <c r="D55" s="8">
        <f t="shared" si="13"/>
        <v>0</v>
      </c>
      <c r="E55" t="str">
        <f>IF(Codes!$C$50="ARCH","Door Style 105",IF(Codes!$C$50="SQUARE","Door Style 104",IF(Codes!$C$50="CATHEDRAL","Door Style 106","Door Style 101")))</f>
        <v>Door Style 101</v>
      </c>
      <c r="F55" s="6">
        <f>'Metric Form'!D49</f>
        <v>0</v>
      </c>
      <c r="G55" t="str">
        <f>IF(Codes!$E$50="4 LITES","2",IF(Codes!$E$50="6 LITES","3",IF(Codes!$E$50="8 LITES","4","")))</f>
        <v/>
      </c>
      <c r="H55" s="6" t="e">
        <f>VLOOKUP(Codes!$G$50,Codes!$A$2:$J$41,MATCH(Codes!$I$50,Codes!$A$1:$J$1,))</f>
        <v>#N/A</v>
      </c>
      <c r="I55" s="6" t="e">
        <f>VLOOKUP(Codes!$G$50,Codes!$A$2:$J$41,MATCH(Codes!$I$51,Codes!$A$1:$J$1,))</f>
        <v>#N/A</v>
      </c>
      <c r="J55" s="6" t="e">
        <f>VLOOKUP(Codes!$G$50,Codes!$A$2:$J$41,MATCH(Codes!$I$52,Codes!$A$1:$J$1,))</f>
        <v>#N/A</v>
      </c>
      <c r="K55" t="str">
        <f t="shared" si="11"/>
        <v/>
      </c>
      <c r="L55" t="str">
        <f>IF($E55="Door Style 3b","40",IF($E55="Door Style 106","40",""))</f>
        <v/>
      </c>
      <c r="M55" t="str">
        <f>IF($E55="Door Style 106","0.32","")</f>
        <v/>
      </c>
      <c r="N55" t="str">
        <f t="shared" si="4"/>
        <v/>
      </c>
      <c r="O55" t="str">
        <f t="shared" si="5"/>
        <v/>
      </c>
      <c r="P55" s="6" t="e">
        <f>VLOOKUP(Codes!$G$50,Codes!$A$1:$I$41,MATCH(Codes!$I$55,Codes!$A$1:$I$1,))</f>
        <v>#N/A</v>
      </c>
      <c r="Q55">
        <f>Codes!$G$52</f>
        <v>0</v>
      </c>
      <c r="R55">
        <f>Codes!G53</f>
        <v>0</v>
      </c>
      <c r="S55">
        <f t="shared" si="12"/>
        <v>0</v>
      </c>
      <c r="T55">
        <f>Codes!$G$50</f>
        <v>0</v>
      </c>
      <c r="U55">
        <f>Codes!$G$51</f>
        <v>0</v>
      </c>
      <c r="V55">
        <f>Codes!$C$50</f>
        <v>0</v>
      </c>
      <c r="W55" t="str">
        <f>IF(G55="2","4 Lite Mullion",IF(G55="3","6 Lite Mullion",IF(G55="4","8 Lite Mullion","Mullion")))</f>
        <v>Mullion</v>
      </c>
      <c r="X55">
        <f>Codes!$B$54</f>
        <v>0</v>
      </c>
      <c r="Y55" t="str">
        <f>'Metric Form'!$D$8</f>
        <v>Cabinetmart Inc</v>
      </c>
      <c r="Z55">
        <f>'Metric Form'!$D$10</f>
        <v>0</v>
      </c>
      <c r="AA55" t="str">
        <f>IF(Codes!$G$54="YES","FINGER PULLS","")</f>
        <v/>
      </c>
      <c r="AB55" t="str">
        <f>IF($E55="Door Style 125","HOGGsNEW",IF(Codes!$G$50="10 600","HOGGsNEW",IF(Codes!$G$50="RILEY","HOGGs","")))</f>
        <v/>
      </c>
      <c r="AC55" t="str">
        <f t="shared" si="7"/>
        <v/>
      </c>
    </row>
    <row r="56" spans="1:29" x14ac:dyDescent="0.15">
      <c r="A56" s="10">
        <f>'Metric Form'!E50</f>
        <v>0</v>
      </c>
      <c r="B56" s="10">
        <f>'Metric Form'!F50</f>
        <v>0</v>
      </c>
      <c r="C56" s="8">
        <f t="shared" si="13"/>
        <v>0</v>
      </c>
      <c r="D56" s="8">
        <f t="shared" si="13"/>
        <v>0</v>
      </c>
      <c r="E56" t="str">
        <f>IF(Codes!$C$50="ARCH","Door Style 105",IF(Codes!$C$50="SQUARE","Door Style 104",IF(Codes!$C$50="CATHEDRAL","Door Style 106","Door Style 101")))</f>
        <v>Door Style 101</v>
      </c>
      <c r="F56" s="6">
        <f>'Metric Form'!D50</f>
        <v>0</v>
      </c>
      <c r="G56" t="str">
        <f>IF(Codes!$E$50="4 LITES","2",IF(Codes!$E$50="6 LITES","3",IF(Codes!$E$50="8 LITES","4","")))</f>
        <v/>
      </c>
      <c r="H56" s="6" t="e">
        <f>VLOOKUP(Codes!$G$50,Codes!$A$2:$J$41,MATCH(Codes!$I$50,Codes!$A$1:$J$1,))</f>
        <v>#N/A</v>
      </c>
      <c r="I56" s="6" t="e">
        <f>VLOOKUP(Codes!$G$50,Codes!$A$2:$J$41,MATCH(Codes!$I$51,Codes!$A$1:$J$1,))</f>
        <v>#N/A</v>
      </c>
      <c r="J56" s="6" t="e">
        <f>VLOOKUP(Codes!$G$50,Codes!$A$2:$J$41,MATCH(Codes!$I$52,Codes!$A$1:$J$1,))</f>
        <v>#N/A</v>
      </c>
      <c r="K56" t="str">
        <f t="shared" si="11"/>
        <v/>
      </c>
      <c r="L56" t="str">
        <f>IF($E56="Door Style 3b","40",IF($E56="Door Style 106","40",""))</f>
        <v/>
      </c>
      <c r="M56" t="str">
        <f>IF($E56="Door Style 106","0.32","")</f>
        <v/>
      </c>
      <c r="N56" t="str">
        <f t="shared" si="4"/>
        <v/>
      </c>
      <c r="O56" t="str">
        <f t="shared" si="5"/>
        <v/>
      </c>
      <c r="P56" s="6" t="e">
        <f>VLOOKUP(Codes!$G$50,Codes!$A$1:$I$41,MATCH(Codes!$I$55,Codes!$A$1:$I$1,))</f>
        <v>#N/A</v>
      </c>
      <c r="Q56">
        <f>Codes!$G$52</f>
        <v>0</v>
      </c>
      <c r="R56">
        <f>Codes!G53</f>
        <v>0</v>
      </c>
      <c r="S56">
        <f t="shared" si="12"/>
        <v>0</v>
      </c>
      <c r="T56">
        <f>Codes!$G$50</f>
        <v>0</v>
      </c>
      <c r="U56">
        <f>Codes!$G$51</f>
        <v>0</v>
      </c>
      <c r="V56">
        <f>Codes!$C$50</f>
        <v>0</v>
      </c>
      <c r="W56" t="str">
        <f>IF(G56="2","4 Lite Mullion",IF(G56="3","6 Lite Mullion",IF(G56="4","8 Lite Mullion","Mullion")))</f>
        <v>Mullion</v>
      </c>
      <c r="X56">
        <f>Codes!$B$54</f>
        <v>0</v>
      </c>
      <c r="Y56" t="str">
        <f>'Metric Form'!$D$8</f>
        <v>Cabinetmart Inc</v>
      </c>
      <c r="Z56">
        <f>'Metric Form'!$D$10</f>
        <v>0</v>
      </c>
      <c r="AA56" t="str">
        <f>IF(Codes!$G$54="YES","FINGER PULLS","")</f>
        <v/>
      </c>
      <c r="AB56" t="str">
        <f>IF($E56="Door Style 125","HOGGsNEW",IF(Codes!$G$50="10 600","HOGGsNEW",IF(Codes!$G$50="RILEY","HOGGs","")))</f>
        <v/>
      </c>
      <c r="AC56" t="str">
        <f t="shared" si="7"/>
        <v/>
      </c>
    </row>
    <row r="57" spans="1:29" x14ac:dyDescent="0.15">
      <c r="A57" s="10">
        <f>'Metric Form'!E51</f>
        <v>0</v>
      </c>
      <c r="B57" s="10">
        <f>'Metric Form'!F51</f>
        <v>0</v>
      </c>
      <c r="C57" s="8">
        <f t="shared" si="13"/>
        <v>0</v>
      </c>
      <c r="D57" s="8">
        <f t="shared" si="13"/>
        <v>0</v>
      </c>
      <c r="E57" t="str">
        <f>IF(Codes!$C$50="ARCH","Door Style 105",IF(Codes!$C$50="SQUARE","Door Style 104",IF(Codes!$C$50="CATHEDRAL","Door Style 106","Door Style 101")))</f>
        <v>Door Style 101</v>
      </c>
      <c r="F57" s="6">
        <f>'Metric Form'!D51</f>
        <v>0</v>
      </c>
      <c r="G57" t="str">
        <f>IF(Codes!$E$50="4 LITES","2",IF(Codes!$E$50="6 LITES","3",IF(Codes!$E$50="8 LITES","4","")))</f>
        <v/>
      </c>
      <c r="H57" s="6" t="e">
        <f>VLOOKUP(Codes!$G$50,Codes!$A$2:$J$41,MATCH(Codes!$I$50,Codes!$A$1:$J$1,))</f>
        <v>#N/A</v>
      </c>
      <c r="I57" s="6" t="e">
        <f>VLOOKUP(Codes!$G$50,Codes!$A$2:$J$41,MATCH(Codes!$I$51,Codes!$A$1:$J$1,))</f>
        <v>#N/A</v>
      </c>
      <c r="J57" s="6" t="e">
        <f>VLOOKUP(Codes!$G$50,Codes!$A$2:$J$41,MATCH(Codes!$I$52,Codes!$A$1:$J$1,))</f>
        <v>#N/A</v>
      </c>
      <c r="K57" t="str">
        <f t="shared" si="11"/>
        <v/>
      </c>
      <c r="L57" t="str">
        <f>IF($E57="Door Style 3b","40",IF($E57="Door Style 106","40",""))</f>
        <v/>
      </c>
      <c r="M57" t="str">
        <f>IF($E57="Door Style 106","0.32","")</f>
        <v/>
      </c>
      <c r="N57" t="str">
        <f t="shared" si="4"/>
        <v/>
      </c>
      <c r="O57" t="str">
        <f t="shared" si="5"/>
        <v/>
      </c>
      <c r="P57" s="6" t="e">
        <f>VLOOKUP(Codes!$G$50,Codes!$A$1:$I$41,MATCH(Codes!$I$55,Codes!$A$1:$I$1,))</f>
        <v>#N/A</v>
      </c>
      <c r="Q57">
        <f>Codes!$G$52</f>
        <v>0</v>
      </c>
      <c r="R57">
        <f>Codes!G53</f>
        <v>0</v>
      </c>
      <c r="S57">
        <f t="shared" si="12"/>
        <v>0</v>
      </c>
      <c r="T57">
        <f>Codes!$G$50</f>
        <v>0</v>
      </c>
      <c r="U57">
        <f>Codes!$G$51</f>
        <v>0</v>
      </c>
      <c r="V57">
        <f>Codes!$C$50</f>
        <v>0</v>
      </c>
      <c r="W57" t="str">
        <f>IF(G57="2","4 Lite Mullion",IF(G57="3","6 Lite Mullion",IF(G57="4","8 Lite Mullion","Mullion")))</f>
        <v>Mullion</v>
      </c>
      <c r="X57">
        <f>Codes!$B$54</f>
        <v>0</v>
      </c>
      <c r="Y57" t="str">
        <f>'Metric Form'!$D$8</f>
        <v>Cabinetmart Inc</v>
      </c>
      <c r="Z57">
        <f>'Metric Form'!$D$10</f>
        <v>0</v>
      </c>
      <c r="AA57" t="str">
        <f>IF(Codes!$G$54="YES","FINGER PULLS","")</f>
        <v/>
      </c>
      <c r="AB57" t="str">
        <f>IF($E57="Door Style 125","HOGGsNEW",IF(Codes!$G$50="10 600","HOGGsNEW",IF(Codes!$G$50="RILEY","HOGGs","")))</f>
        <v/>
      </c>
      <c r="AC57" t="str">
        <f t="shared" si="7"/>
        <v/>
      </c>
    </row>
    <row r="58" spans="1:29" x14ac:dyDescent="0.15">
      <c r="A58" s="10">
        <f>'Metric Form'!E52</f>
        <v>0</v>
      </c>
      <c r="B58" s="10">
        <f>'Metric Form'!F52</f>
        <v>0</v>
      </c>
      <c r="C58" s="8">
        <f t="shared" si="13"/>
        <v>0</v>
      </c>
      <c r="D58" s="8">
        <f t="shared" si="13"/>
        <v>0</v>
      </c>
      <c r="E58" t="str">
        <f>IF(Codes!$C$50="ARCH","Door Style 105",IF(Codes!$C$50="SQUARE","Door Style 104",IF(Codes!$C$50="CATHEDRAL","Door Style 106","Door Style 101")))</f>
        <v>Door Style 101</v>
      </c>
      <c r="F58" s="6">
        <f>'Metric Form'!D52</f>
        <v>0</v>
      </c>
      <c r="G58" t="str">
        <f>IF(Codes!$E$50="4 LITES","2",IF(Codes!$E$50="6 LITES","3",IF(Codes!$E$50="8 LITES","4","")))</f>
        <v/>
      </c>
      <c r="H58" s="6" t="e">
        <f>VLOOKUP(Codes!$G$50,Codes!$A$2:$J$41,MATCH(Codes!$I$50,Codes!$A$1:$J$1,))</f>
        <v>#N/A</v>
      </c>
      <c r="I58" s="6" t="e">
        <f>VLOOKUP(Codes!$G$50,Codes!$A$2:$J$41,MATCH(Codes!$I$51,Codes!$A$1:$J$1,))</f>
        <v>#N/A</v>
      </c>
      <c r="J58" s="6" t="e">
        <f>VLOOKUP(Codes!$G$50,Codes!$A$2:$J$41,MATCH(Codes!$I$52,Codes!$A$1:$J$1,))</f>
        <v>#N/A</v>
      </c>
      <c r="K58" t="str">
        <f t="shared" si="11"/>
        <v/>
      </c>
      <c r="L58" t="str">
        <f>IF($E58="Door Style 3b","40",IF($E58="Door Style 106","40",""))</f>
        <v/>
      </c>
      <c r="M58" t="str">
        <f>IF($E58="Door Style 106","0.32","")</f>
        <v/>
      </c>
      <c r="N58" t="str">
        <f t="shared" si="4"/>
        <v/>
      </c>
      <c r="O58" t="str">
        <f t="shared" si="5"/>
        <v/>
      </c>
      <c r="P58" s="6" t="e">
        <f>VLOOKUP(Codes!$G$50,Codes!$A$1:$I$41,MATCH(Codes!$I$55,Codes!$A$1:$I$1,))</f>
        <v>#N/A</v>
      </c>
      <c r="Q58">
        <f>Codes!$G$52</f>
        <v>0</v>
      </c>
      <c r="R58">
        <f>Codes!G53</f>
        <v>0</v>
      </c>
      <c r="S58">
        <f t="shared" si="12"/>
        <v>0</v>
      </c>
      <c r="T58">
        <f>Codes!$G$50</f>
        <v>0</v>
      </c>
      <c r="U58">
        <f>Codes!$G$51</f>
        <v>0</v>
      </c>
      <c r="V58">
        <f>Codes!$C$50</f>
        <v>0</v>
      </c>
      <c r="W58" t="str">
        <f>IF(G58="2","4 Lite Mullion",IF(G58="3","6 Lite Mullion",IF(G58="4","8 Lite Mullion","Mullion")))</f>
        <v>Mullion</v>
      </c>
      <c r="X58">
        <f>Codes!$B$54</f>
        <v>0</v>
      </c>
      <c r="Y58" t="str">
        <f>'Metric Form'!$D$8</f>
        <v>Cabinetmart Inc</v>
      </c>
      <c r="Z58">
        <f>'Metric Form'!$D$10</f>
        <v>0</v>
      </c>
      <c r="AA58" t="str">
        <f>IF(Codes!$G$54="YES","FINGER PULLS","")</f>
        <v/>
      </c>
      <c r="AB58" t="str">
        <f>IF($E58="Door Style 125","HOGGsNEW",IF(Codes!$G$50="10 600","HOGGsNEW",IF(Codes!$G$50="RILEY","HOGGs","")))</f>
        <v/>
      </c>
      <c r="AC58" t="str">
        <f t="shared" si="7"/>
        <v/>
      </c>
    </row>
    <row r="59" spans="1:29" x14ac:dyDescent="0.15">
      <c r="K59" t="str">
        <f>IF($E59="Door Style 2","31","")</f>
        <v/>
      </c>
    </row>
    <row r="60" spans="1:29" x14ac:dyDescent="0.15">
      <c r="A60" s="10">
        <f>'Metric Form'!J42</f>
        <v>0</v>
      </c>
      <c r="B60" s="10">
        <f>'Metric Form'!K42</f>
        <v>0</v>
      </c>
      <c r="C60" s="8">
        <f>A60</f>
        <v>0</v>
      </c>
      <c r="D60" s="8">
        <f>B60</f>
        <v>0</v>
      </c>
      <c r="E60" t="str">
        <f>IF(Codes!$E53="ROMAN ARCH","Door Style 190",IF(Codes!$E53="SCALLOPED","Door Style 190","Door Style 117"))</f>
        <v>Door Style 117</v>
      </c>
      <c r="F60">
        <f>'Metric Form'!I42</f>
        <v>0</v>
      </c>
      <c r="G60" t="str">
        <f>IF(Codes!$E53="ROMAN ARCH","1",IF(Codes!$E53="SCALLOPED","2",""))</f>
        <v/>
      </c>
      <c r="H60">
        <v>0</v>
      </c>
      <c r="I60" s="6" t="str">
        <f>IF($E60="Door Style 190",VLOOKUP(Codes!$G$49,Codes!$A$2:$J$45,MATCH(Codes!$I$50,Codes!$A$1:$J$1,)),"SCUT")</f>
        <v>SCUT</v>
      </c>
      <c r="J60" t="s">
        <v>42</v>
      </c>
      <c r="K60" t="str">
        <f>IF($E60="Door Style 190","50.8","")</f>
        <v/>
      </c>
      <c r="O60" t="str">
        <f>IF($G60="2","12.7","")</f>
        <v/>
      </c>
      <c r="P60" t="s">
        <v>412</v>
      </c>
      <c r="Q60">
        <f>Codes!$G$52</f>
        <v>0</v>
      </c>
      <c r="R60">
        <f>Codes!G53</f>
        <v>0</v>
      </c>
      <c r="S60">
        <f t="shared" si="12"/>
        <v>0</v>
      </c>
      <c r="T60">
        <f>Codes!$G$50</f>
        <v>0</v>
      </c>
      <c r="V60">
        <f>Codes!E$54</f>
        <v>0</v>
      </c>
      <c r="W60" t="s">
        <v>353</v>
      </c>
      <c r="X60">
        <f>Codes!$B$54</f>
        <v>0</v>
      </c>
      <c r="Y60" t="str">
        <f>'Metric Form'!$D$8</f>
        <v>Cabinetmart Inc</v>
      </c>
      <c r="Z60">
        <f>'Metric Form'!$D$10</f>
        <v>0</v>
      </c>
    </row>
    <row r="61" spans="1:29" x14ac:dyDescent="0.15">
      <c r="A61" s="10">
        <f>'Metric Form'!J43</f>
        <v>0</v>
      </c>
      <c r="B61" s="10">
        <f>'Metric Form'!K43</f>
        <v>0</v>
      </c>
      <c r="C61" s="8">
        <f>A61</f>
        <v>0</v>
      </c>
      <c r="D61" s="8">
        <f>B61</f>
        <v>0</v>
      </c>
      <c r="E61" t="str">
        <f>IF(Codes!$E54="ROMAN ARCH","Door Style 190",IF(Codes!$E54="SCALLOPED","Door Style 190","Door Style 117"))</f>
        <v>Door Style 117</v>
      </c>
      <c r="F61">
        <f>'Metric Form'!I43</f>
        <v>0</v>
      </c>
      <c r="G61" t="str">
        <f>IF(Codes!$E54="ROMAN ARCH","1",IF(Codes!$E54="SCALLOPED","2",""))</f>
        <v/>
      </c>
      <c r="H61">
        <v>0</v>
      </c>
      <c r="I61" s="6" t="str">
        <f>IF($E61="Door Style 190",VLOOKUP(Codes!$G$49,Codes!$A$2:$J$45,MATCH(Codes!$I$50,Codes!$A$1:$J$1,)),"SCUT")</f>
        <v>SCUT</v>
      </c>
      <c r="J61" t="s">
        <v>42</v>
      </c>
      <c r="K61" t="str">
        <f>IF($E61="Door Style 190","50.8","")</f>
        <v/>
      </c>
      <c r="O61" t="str">
        <f>IF($G61="2","12.7","")</f>
        <v/>
      </c>
      <c r="P61" t="s">
        <v>412</v>
      </c>
      <c r="Q61">
        <f>Codes!$G$52</f>
        <v>0</v>
      </c>
      <c r="R61">
        <f>Codes!G53</f>
        <v>0</v>
      </c>
      <c r="S61">
        <f t="shared" si="12"/>
        <v>0</v>
      </c>
      <c r="T61">
        <f>Codes!$G$50</f>
        <v>0</v>
      </c>
      <c r="V61">
        <f>Codes!E$54</f>
        <v>0</v>
      </c>
      <c r="W61" t="s">
        <v>353</v>
      </c>
      <c r="X61">
        <f>Codes!$B$54</f>
        <v>0</v>
      </c>
      <c r="Y61" t="str">
        <f>'Metric Form'!$D$8</f>
        <v>Cabinetmart Inc</v>
      </c>
      <c r="Z61">
        <f>'Metric Form'!$D$10</f>
        <v>0</v>
      </c>
    </row>
    <row r="63" spans="1:29" x14ac:dyDescent="0.15">
      <c r="A63" s="10">
        <f>'Metric Form'!J47</f>
        <v>0</v>
      </c>
      <c r="B63" s="10">
        <f>'Metric Form'!K47</f>
        <v>0</v>
      </c>
      <c r="C63" s="8">
        <f t="shared" ref="C63:D68" si="14">A63</f>
        <v>0</v>
      </c>
      <c r="D63" s="8">
        <f t="shared" si="14"/>
        <v>0</v>
      </c>
      <c r="E63" t="s">
        <v>200</v>
      </c>
      <c r="F63">
        <f>'Metric Form'!I47</f>
        <v>0</v>
      </c>
      <c r="G63">
        <v>1</v>
      </c>
      <c r="H63">
        <v>0</v>
      </c>
      <c r="I63" t="s">
        <v>44</v>
      </c>
      <c r="J63" t="s">
        <v>45</v>
      </c>
      <c r="P63" t="s">
        <v>412</v>
      </c>
      <c r="Q63">
        <f>Codes!$G$52</f>
        <v>0</v>
      </c>
      <c r="R63" t="str">
        <f>IF(Codes!$G$56="BLENDED",IF(Codes!$G$56="BLENDED","BLENDED","WHITE"),"WHITE")</f>
        <v>WHITE</v>
      </c>
      <c r="S63">
        <v>0</v>
      </c>
      <c r="T63">
        <f>Codes!$G$50</f>
        <v>0</v>
      </c>
      <c r="W63" t="str">
        <f>IF(Codes!E56="BB FRONT","BB Front",IF(Codes!E56="Filler","FILLER",IF(Codes!E56="FLUTES","Flutes",IF(Codes!E56="KICKS","Kicks","WEG"))))</f>
        <v>WEG</v>
      </c>
      <c r="X63">
        <f>Codes!$B$54</f>
        <v>0</v>
      </c>
      <c r="Y63" t="str">
        <f>'Metric Form'!$D$8</f>
        <v>Cabinetmart Inc</v>
      </c>
      <c r="Z63">
        <f>'Metric Form'!$D$10</f>
        <v>0</v>
      </c>
    </row>
    <row r="64" spans="1:29" x14ac:dyDescent="0.15">
      <c r="A64" s="10">
        <f>'Metric Form'!J48</f>
        <v>0</v>
      </c>
      <c r="B64" s="10">
        <f>'Metric Form'!K48</f>
        <v>0</v>
      </c>
      <c r="C64" s="8">
        <f t="shared" si="14"/>
        <v>0</v>
      </c>
      <c r="D64" s="8">
        <f t="shared" si="14"/>
        <v>0</v>
      </c>
      <c r="E64" t="s">
        <v>200</v>
      </c>
      <c r="F64">
        <f>'Metric Form'!I48</f>
        <v>0</v>
      </c>
      <c r="G64">
        <v>1</v>
      </c>
      <c r="H64">
        <v>0</v>
      </c>
      <c r="I64" t="s">
        <v>44</v>
      </c>
      <c r="J64" t="s">
        <v>45</v>
      </c>
      <c r="P64" t="s">
        <v>412</v>
      </c>
      <c r="Q64">
        <f>Codes!$G$52</f>
        <v>0</v>
      </c>
      <c r="R64" t="str">
        <f>IF(Codes!$G$57="BLENDED",IF(Codes!$G$57="BLENDED","BLENDED","WHITE"),"WHITE")</f>
        <v>WHITE</v>
      </c>
      <c r="S64">
        <v>0</v>
      </c>
      <c r="T64">
        <f>Codes!$G$50</f>
        <v>0</v>
      </c>
      <c r="W64" t="str">
        <f>IF(Codes!E57="BB FRONT","BB Front",IF(Codes!E57="Filler","FILLER",IF(Codes!E57="FLUTES","Flutes",IF(Codes!E57="KICKS","Kicks","WEG"))))</f>
        <v>WEG</v>
      </c>
      <c r="X64">
        <f>Codes!$B$54</f>
        <v>0</v>
      </c>
      <c r="Y64" t="str">
        <f>'Metric Form'!$D$8</f>
        <v>Cabinetmart Inc</v>
      </c>
      <c r="Z64">
        <f>'Metric Form'!$D$10</f>
        <v>0</v>
      </c>
    </row>
    <row r="65" spans="1:26" x14ac:dyDescent="0.15">
      <c r="A65" s="10">
        <f>'Metric Form'!J49</f>
        <v>0</v>
      </c>
      <c r="B65" s="10">
        <f>'Metric Form'!K49</f>
        <v>0</v>
      </c>
      <c r="C65" s="8">
        <f t="shared" si="14"/>
        <v>0</v>
      </c>
      <c r="D65" s="8">
        <f t="shared" si="14"/>
        <v>0</v>
      </c>
      <c r="E65" t="s">
        <v>200</v>
      </c>
      <c r="F65">
        <f>'Metric Form'!I49</f>
        <v>0</v>
      </c>
      <c r="G65">
        <v>1</v>
      </c>
      <c r="H65">
        <v>0</v>
      </c>
      <c r="I65" t="s">
        <v>44</v>
      </c>
      <c r="J65" t="s">
        <v>45</v>
      </c>
      <c r="P65" t="s">
        <v>412</v>
      </c>
      <c r="Q65">
        <f>Codes!$G$52</f>
        <v>0</v>
      </c>
      <c r="R65" t="str">
        <f>IF(Codes!$G$58="BLENDED",IF(Codes!$G$58="BLENDED","BLENDED","WHITE"),"WHITE")</f>
        <v>WHITE</v>
      </c>
      <c r="S65">
        <v>0</v>
      </c>
      <c r="T65">
        <f>Codes!$G$50</f>
        <v>0</v>
      </c>
      <c r="W65" t="str">
        <f>IF(Codes!E58="BB FRONT","BB Front",IF(Codes!E58="Filler","FILLER",IF(Codes!E58="FLUTES","Flutes",IF(Codes!E58="KICKS","Kicks","WEG"))))</f>
        <v>WEG</v>
      </c>
      <c r="X65">
        <f>Codes!$B$54</f>
        <v>0</v>
      </c>
      <c r="Y65" t="str">
        <f>'Metric Form'!$D$8</f>
        <v>Cabinetmart Inc</v>
      </c>
      <c r="Z65">
        <f>'Metric Form'!$D$10</f>
        <v>0</v>
      </c>
    </row>
    <row r="66" spans="1:26" x14ac:dyDescent="0.15">
      <c r="A66" s="10">
        <f>'Metric Form'!J50</f>
        <v>0</v>
      </c>
      <c r="B66" s="10">
        <f>'Metric Form'!K50</f>
        <v>0</v>
      </c>
      <c r="C66" s="8">
        <f t="shared" si="14"/>
        <v>0</v>
      </c>
      <c r="D66" s="8">
        <f t="shared" si="14"/>
        <v>0</v>
      </c>
      <c r="E66" t="s">
        <v>200</v>
      </c>
      <c r="F66">
        <f>'Metric Form'!I50</f>
        <v>0</v>
      </c>
      <c r="G66">
        <v>1</v>
      </c>
      <c r="H66">
        <v>0</v>
      </c>
      <c r="I66" t="s">
        <v>44</v>
      </c>
      <c r="J66" t="s">
        <v>45</v>
      </c>
      <c r="P66" t="s">
        <v>412</v>
      </c>
      <c r="Q66">
        <f>Codes!$G$52</f>
        <v>0</v>
      </c>
      <c r="R66" t="str">
        <f>IF(Codes!$G$59="BLENDED",IF(Codes!$G$59="BLENDED","BLENDED","WHITE"),"WHITE")</f>
        <v>WHITE</v>
      </c>
      <c r="S66">
        <v>0</v>
      </c>
      <c r="T66">
        <f>Codes!$G$50</f>
        <v>0</v>
      </c>
      <c r="W66" t="str">
        <f>IF(Codes!E59="BB FRONT","BB Front",IF(Codes!E59="Filler","FILLER",IF(Codes!E59="FLUTES","Flutes",IF(Codes!E59="KICKS","Kicks","WEG"))))</f>
        <v>WEG</v>
      </c>
      <c r="X66">
        <f>Codes!$B$54</f>
        <v>0</v>
      </c>
      <c r="Y66" t="str">
        <f>'Metric Form'!$D$8</f>
        <v>Cabinetmart Inc</v>
      </c>
      <c r="Z66">
        <f>'Metric Form'!$D$10</f>
        <v>0</v>
      </c>
    </row>
    <row r="67" spans="1:26" x14ac:dyDescent="0.15">
      <c r="A67" s="10">
        <f>'Metric Form'!J51</f>
        <v>0</v>
      </c>
      <c r="B67" s="10">
        <f>'Metric Form'!K51</f>
        <v>0</v>
      </c>
      <c r="C67" s="8">
        <f t="shared" si="14"/>
        <v>0</v>
      </c>
      <c r="D67" s="8">
        <f t="shared" si="14"/>
        <v>0</v>
      </c>
      <c r="E67" t="s">
        <v>200</v>
      </c>
      <c r="F67">
        <f>'Metric Form'!I51</f>
        <v>0</v>
      </c>
      <c r="G67">
        <v>1</v>
      </c>
      <c r="H67">
        <v>0</v>
      </c>
      <c r="I67" t="s">
        <v>44</v>
      </c>
      <c r="J67" t="s">
        <v>45</v>
      </c>
      <c r="P67" t="s">
        <v>412</v>
      </c>
      <c r="Q67">
        <f>Codes!$G$52</f>
        <v>0</v>
      </c>
      <c r="R67" t="str">
        <f>IF(Codes!$G$60="BLENDED",IF(Codes!$G$60="BLENDED","BLENDED","WHITE"),"WHITE")</f>
        <v>WHITE</v>
      </c>
      <c r="S67">
        <v>0</v>
      </c>
      <c r="T67">
        <f>Codes!$G$50</f>
        <v>0</v>
      </c>
      <c r="W67" t="str">
        <f>IF(Codes!E60="BB FRONT","BB Front",IF(Codes!E60="Filler","FILLER",IF(Codes!E60="FLUTES","Flutes",IF(Codes!E60="KICKS","Kicks","WEG"))))</f>
        <v>WEG</v>
      </c>
      <c r="X67">
        <f>Codes!$B$54</f>
        <v>0</v>
      </c>
      <c r="Y67" t="str">
        <f>'Metric Form'!$D$8</f>
        <v>Cabinetmart Inc</v>
      </c>
      <c r="Z67">
        <f>'Metric Form'!$D$10</f>
        <v>0</v>
      </c>
    </row>
    <row r="68" spans="1:26" x14ac:dyDescent="0.15">
      <c r="A68" s="10">
        <f>'Metric Form'!J52</f>
        <v>0</v>
      </c>
      <c r="B68" s="10">
        <f>'Metric Form'!K52</f>
        <v>0</v>
      </c>
      <c r="C68" s="8">
        <f t="shared" si="14"/>
        <v>0</v>
      </c>
      <c r="D68" s="8">
        <f t="shared" si="14"/>
        <v>0</v>
      </c>
      <c r="E68" t="s">
        <v>200</v>
      </c>
      <c r="F68">
        <f>'Metric Form'!I52</f>
        <v>0</v>
      </c>
      <c r="G68">
        <v>0</v>
      </c>
      <c r="H68">
        <v>0</v>
      </c>
      <c r="I68" t="s">
        <v>44</v>
      </c>
      <c r="J68" t="s">
        <v>45</v>
      </c>
      <c r="P68" t="s">
        <v>412</v>
      </c>
      <c r="Q68">
        <f>Codes!$G$52</f>
        <v>0</v>
      </c>
      <c r="R68" t="str">
        <f>IF(Codes!$G$61="BLENDED",IF(Codes!$G$61="BLENDED","BLENDED","WHITE"),"WHITE")</f>
        <v>WHITE</v>
      </c>
      <c r="S68">
        <v>0</v>
      </c>
      <c r="T68">
        <f>Codes!$G$50</f>
        <v>0</v>
      </c>
      <c r="W68" t="str">
        <f>IF(Codes!E62="BB FRONT","BB Front",IF(Codes!E62="Filler","FILLER",IF(Codes!E62="FLUTES","Flutes",IF(Codes!E62="KICKS","Kicks","WEG"))))</f>
        <v>WEG</v>
      </c>
      <c r="X68">
        <f>Codes!$B$54</f>
        <v>0</v>
      </c>
      <c r="Y68" t="str">
        <f>'Metric Form'!$D$8</f>
        <v>Cabinetmart Inc</v>
      </c>
      <c r="Z68">
        <f>'Metric Form'!$D$10</f>
        <v>0</v>
      </c>
    </row>
  </sheetData>
  <sheetProtection password="C41E" sheet="1" objects="1" scenarios="1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2"/>
  <sheetViews>
    <sheetView showGridLines="0" tabSelected="1" showRuler="0" zoomScale="75" workbookViewId="0">
      <selection activeCell="J14" sqref="J14"/>
    </sheetView>
  </sheetViews>
  <sheetFormatPr baseColWidth="10" defaultColWidth="8.83203125" defaultRowHeight="13" x14ac:dyDescent="0.15"/>
  <cols>
    <col min="1" max="1" width="1.33203125" style="16" customWidth="1"/>
    <col min="2" max="3" width="6.5" style="16" customWidth="1"/>
    <col min="4" max="4" width="8.6640625" style="16" customWidth="1"/>
    <col min="5" max="6" width="13.33203125" style="16" customWidth="1"/>
    <col min="7" max="7" width="6.83203125" style="16" customWidth="1"/>
    <col min="8" max="9" width="6.5" style="16" customWidth="1"/>
    <col min="10" max="10" width="11.5" style="16" customWidth="1"/>
    <col min="11" max="12" width="13.33203125" style="16" customWidth="1"/>
    <col min="13" max="13" width="7.6640625" style="16" customWidth="1"/>
    <col min="14" max="14" width="1.83203125" style="16" customWidth="1"/>
    <col min="15" max="15" width="8.6640625" style="16" customWidth="1"/>
    <col min="16" max="17" width="13.33203125" style="16" customWidth="1"/>
    <col min="18" max="18" width="1.33203125" style="16" customWidth="1"/>
    <col min="19" max="19" width="5.5" style="16" customWidth="1"/>
    <col min="20" max="34" width="8.83203125" style="16"/>
    <col min="35" max="36" width="6.1640625" style="16" customWidth="1"/>
    <col min="37" max="37" width="5.1640625" style="16" customWidth="1"/>
    <col min="38" max="38" width="6.83203125" style="16" customWidth="1"/>
    <col min="39" max="39" width="6.5" style="16" customWidth="1"/>
    <col min="40" max="40" width="16" style="16" customWidth="1"/>
    <col min="41" max="16384" width="8.83203125" style="16"/>
  </cols>
  <sheetData>
    <row r="1" spans="1:19" ht="13.5" customHeight="1" thickBot="1" x14ac:dyDescent="0.2">
      <c r="A1" s="11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279" t="s">
        <v>94</v>
      </c>
      <c r="R1" s="14"/>
      <c r="S1" s="15"/>
    </row>
    <row r="2" spans="1:19" ht="15" customHeight="1" x14ac:dyDescent="0.2">
      <c r="A2" s="17"/>
      <c r="B2" s="398" t="s">
        <v>329</v>
      </c>
      <c r="C2" s="399"/>
      <c r="D2" s="399"/>
      <c r="E2" s="400"/>
      <c r="F2" s="15"/>
      <c r="G2" s="15"/>
      <c r="H2" s="15"/>
      <c r="I2" s="15"/>
      <c r="J2" s="15"/>
      <c r="K2" s="15"/>
      <c r="L2" s="15"/>
      <c r="M2" s="15"/>
      <c r="O2" s="288" t="e">
        <f ca="1">IDAutomationWordExcelAddin.FontEncoder.Code39(B5)</f>
        <v>#NAME?</v>
      </c>
      <c r="P2" s="288"/>
      <c r="Q2" s="288"/>
      <c r="R2" s="18"/>
      <c r="S2" s="15"/>
    </row>
    <row r="3" spans="1:19" ht="15" customHeight="1" thickBot="1" x14ac:dyDescent="0.25">
      <c r="A3" s="17"/>
      <c r="B3" s="401" t="s">
        <v>330</v>
      </c>
      <c r="C3" s="402"/>
      <c r="D3" s="402"/>
      <c r="E3" s="403"/>
      <c r="F3" s="15"/>
      <c r="G3" s="15"/>
      <c r="H3" s="15"/>
      <c r="I3" s="15"/>
      <c r="J3" s="15"/>
      <c r="K3" s="15"/>
      <c r="L3" s="15"/>
      <c r="M3" s="15"/>
      <c r="O3" s="288"/>
      <c r="P3" s="288"/>
      <c r="Q3" s="288"/>
      <c r="R3" s="18"/>
      <c r="S3" s="15"/>
    </row>
    <row r="4" spans="1:19" ht="15" customHeight="1" x14ac:dyDescent="0.15">
      <c r="A4" s="17"/>
      <c r="B4" s="404" t="s">
        <v>331</v>
      </c>
      <c r="C4" s="405"/>
      <c r="D4" s="405"/>
      <c r="E4" s="406"/>
      <c r="F4" s="15"/>
      <c r="G4" s="15"/>
      <c r="H4" s="15"/>
      <c r="I4" s="15"/>
      <c r="J4" s="15"/>
      <c r="K4" s="15"/>
      <c r="L4" s="15"/>
      <c r="M4" s="15"/>
      <c r="O4" s="288"/>
      <c r="P4" s="288"/>
      <c r="Q4" s="288"/>
      <c r="R4" s="18"/>
      <c r="S4" s="15"/>
    </row>
    <row r="5" spans="1:19" ht="17" customHeight="1" thickBot="1" x14ac:dyDescent="0.25">
      <c r="A5" s="17"/>
      <c r="B5" s="395"/>
      <c r="C5" s="396"/>
      <c r="D5" s="396"/>
      <c r="E5" s="397"/>
      <c r="F5" s="15"/>
      <c r="G5" s="15"/>
      <c r="H5" s="15"/>
      <c r="I5" s="15"/>
      <c r="J5" s="15"/>
      <c r="K5" s="15"/>
      <c r="L5" s="15"/>
      <c r="M5" s="15"/>
      <c r="O5" s="288"/>
      <c r="P5" s="288"/>
      <c r="Q5" s="288"/>
      <c r="R5" s="18"/>
      <c r="S5" s="15"/>
    </row>
    <row r="6" spans="1:19" ht="15" customHeight="1" x14ac:dyDescent="0.15">
      <c r="A6" s="17"/>
      <c r="B6" s="19"/>
      <c r="C6" s="19"/>
      <c r="D6" s="19"/>
      <c r="E6" s="19"/>
      <c r="F6" s="15"/>
      <c r="G6" s="15"/>
      <c r="H6" s="15"/>
      <c r="I6" s="15"/>
      <c r="J6" s="15"/>
      <c r="K6" s="15"/>
      <c r="L6" s="15"/>
      <c r="M6" s="15"/>
      <c r="O6" s="288"/>
      <c r="P6" s="288"/>
      <c r="Q6" s="288"/>
      <c r="R6" s="18"/>
      <c r="S6" s="15"/>
    </row>
    <row r="7" spans="1:19" ht="15" customHeight="1" x14ac:dyDescent="0.2">
      <c r="A7" s="17"/>
      <c r="B7" s="15"/>
      <c r="C7" s="15"/>
      <c r="D7" s="15"/>
      <c r="E7" s="15"/>
      <c r="F7" s="15"/>
      <c r="G7" s="15"/>
      <c r="H7" s="15"/>
      <c r="I7" s="15"/>
      <c r="J7" s="244" t="s">
        <v>34</v>
      </c>
      <c r="K7" s="15"/>
      <c r="L7" s="15"/>
      <c r="M7" s="15"/>
      <c r="N7" s="15"/>
      <c r="O7" s="15"/>
      <c r="P7" s="15"/>
      <c r="Q7" s="15"/>
      <c r="R7" s="18"/>
      <c r="S7" s="15"/>
    </row>
    <row r="8" spans="1:19" ht="18" customHeight="1" x14ac:dyDescent="0.2">
      <c r="A8" s="17"/>
      <c r="B8" s="376" t="s">
        <v>332</v>
      </c>
      <c r="C8" s="377"/>
      <c r="D8" s="390" t="s">
        <v>491</v>
      </c>
      <c r="E8" s="391"/>
      <c r="F8" s="391"/>
      <c r="G8" s="15"/>
      <c r="H8" s="20"/>
      <c r="I8" s="21"/>
      <c r="J8" s="244" t="s">
        <v>35</v>
      </c>
      <c r="K8" s="21"/>
      <c r="L8" s="15"/>
      <c r="M8" s="15"/>
      <c r="N8" s="15"/>
      <c r="O8" s="22" t="s">
        <v>333</v>
      </c>
      <c r="P8" s="388"/>
      <c r="Q8" s="389"/>
      <c r="R8" s="18"/>
      <c r="S8" s="15"/>
    </row>
    <row r="9" spans="1:19" ht="12" customHeight="1" x14ac:dyDescent="0.15">
      <c r="A9" s="17"/>
      <c r="B9" s="2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4"/>
      <c r="P9" s="15"/>
      <c r="Q9" s="15"/>
      <c r="R9" s="18"/>
      <c r="S9" s="15"/>
    </row>
    <row r="10" spans="1:19" ht="18" customHeight="1" x14ac:dyDescent="0.2">
      <c r="A10" s="17"/>
      <c r="B10" s="376" t="s">
        <v>334</v>
      </c>
      <c r="C10" s="377"/>
      <c r="D10" s="390"/>
      <c r="E10" s="391"/>
      <c r="F10" s="391"/>
      <c r="G10" s="15"/>
      <c r="I10" s="15"/>
      <c r="J10" s="287" t="s">
        <v>493</v>
      </c>
      <c r="K10" s="15"/>
      <c r="L10" s="376" t="s">
        <v>335</v>
      </c>
      <c r="M10" s="392"/>
      <c r="N10" s="392"/>
      <c r="O10" s="393"/>
      <c r="P10" s="394"/>
      <c r="Q10" s="394"/>
      <c r="R10" s="18"/>
      <c r="S10" s="15"/>
    </row>
    <row r="11" spans="1:19" ht="12" customHeight="1" x14ac:dyDescent="0.15">
      <c r="A11" s="17"/>
      <c r="B11" s="15"/>
      <c r="C11" s="15"/>
      <c r="D11" s="15"/>
      <c r="E11" s="15"/>
      <c r="F11" s="15"/>
      <c r="G11" s="15"/>
      <c r="H11" s="15"/>
      <c r="I11" s="15"/>
      <c r="J11" s="280" t="s">
        <v>494</v>
      </c>
      <c r="K11" s="15"/>
      <c r="L11" s="15"/>
      <c r="M11" s="15"/>
      <c r="N11" s="15"/>
      <c r="O11" s="15"/>
      <c r="P11" s="15"/>
      <c r="Q11" s="15"/>
      <c r="R11" s="18"/>
      <c r="S11" s="15"/>
    </row>
    <row r="12" spans="1:19" ht="18" customHeight="1" x14ac:dyDescent="0.2">
      <c r="A12" s="17"/>
      <c r="B12" s="376" t="s">
        <v>349</v>
      </c>
      <c r="C12" s="377"/>
      <c r="D12" s="378"/>
      <c r="E12" s="379"/>
      <c r="F12" s="380"/>
      <c r="G12" s="15"/>
      <c r="H12" s="15"/>
      <c r="I12" s="15"/>
      <c r="J12" s="280" t="s">
        <v>495</v>
      </c>
      <c r="K12" s="15"/>
      <c r="L12" s="381" t="s">
        <v>336</v>
      </c>
      <c r="M12" s="382"/>
      <c r="N12" s="378"/>
      <c r="O12" s="379"/>
      <c r="P12" s="379"/>
      <c r="Q12" s="380"/>
      <c r="R12" s="18"/>
      <c r="S12" s="15"/>
    </row>
    <row r="13" spans="1:19" ht="12" customHeight="1" x14ac:dyDescent="0.15">
      <c r="A13" s="17"/>
      <c r="B13" s="25"/>
      <c r="C13" s="25"/>
      <c r="D13" s="25"/>
      <c r="E13" s="25"/>
      <c r="F13" s="26"/>
      <c r="G13" s="15"/>
      <c r="H13" s="15"/>
      <c r="I13" s="15"/>
      <c r="J13" s="280" t="s">
        <v>496</v>
      </c>
      <c r="K13" s="15"/>
      <c r="L13" s="15"/>
      <c r="M13" s="15"/>
      <c r="N13" s="15"/>
      <c r="O13" s="15"/>
      <c r="P13" s="15"/>
      <c r="Q13" s="15"/>
      <c r="R13" s="18"/>
      <c r="S13" s="15"/>
    </row>
    <row r="14" spans="1:19" ht="18" customHeight="1" x14ac:dyDescent="0.2">
      <c r="A14" s="17"/>
      <c r="B14" s="27" t="s">
        <v>337</v>
      </c>
      <c r="C14" s="383"/>
      <c r="D14" s="384"/>
      <c r="E14" s="385"/>
      <c r="F14" s="26"/>
      <c r="G14" s="15"/>
      <c r="H14"/>
      <c r="I14"/>
      <c r="J14" s="280" t="s">
        <v>497</v>
      </c>
      <c r="K14" s="28"/>
      <c r="L14" s="29" t="s">
        <v>338</v>
      </c>
      <c r="M14" s="30"/>
      <c r="N14" s="30"/>
      <c r="O14" s="31"/>
      <c r="P14" s="386"/>
      <c r="Q14" s="387"/>
      <c r="R14" s="18"/>
      <c r="S14" s="15"/>
    </row>
    <row r="15" spans="1:19" ht="18" customHeight="1" x14ac:dyDescent="0.2">
      <c r="A15" s="17"/>
      <c r="B15" s="32" t="s">
        <v>201</v>
      </c>
      <c r="C15" s="258"/>
      <c r="D15" s="348"/>
      <c r="E15" s="348"/>
      <c r="F15" s="348"/>
      <c r="G15" s="15"/>
      <c r="H15" s="243" t="s">
        <v>339</v>
      </c>
      <c r="I15" s="33"/>
      <c r="J15" s="34"/>
      <c r="K15" s="34"/>
      <c r="L15" s="283"/>
      <c r="M15" s="284"/>
      <c r="N15" s="284"/>
      <c r="O15" s="285"/>
      <c r="P15" s="285"/>
      <c r="Q15" s="285"/>
      <c r="R15" s="18"/>
      <c r="S15" s="15"/>
    </row>
    <row r="16" spans="1:19" ht="18" customHeight="1" x14ac:dyDescent="0.2">
      <c r="A16" s="17"/>
      <c r="B16" s="32" t="s">
        <v>202</v>
      </c>
      <c r="C16" s="348"/>
      <c r="D16" s="348"/>
      <c r="E16" s="348"/>
      <c r="F16" s="348"/>
      <c r="G16" s="15"/>
      <c r="H16" s="243" t="s">
        <v>340</v>
      </c>
      <c r="I16" s="37"/>
      <c r="J16" s="38"/>
      <c r="K16" s="38"/>
      <c r="L16"/>
      <c r="M16" s="15"/>
      <c r="N16" s="281"/>
      <c r="O16" s="282"/>
      <c r="P16" s="282"/>
      <c r="Q16" s="286"/>
      <c r="R16" s="18"/>
      <c r="S16" s="15"/>
    </row>
    <row r="17" spans="1:19" ht="18" customHeight="1" x14ac:dyDescent="0.2">
      <c r="A17" s="17"/>
      <c r="B17" s="26"/>
      <c r="C17" s="348"/>
      <c r="D17" s="348"/>
      <c r="E17" s="348"/>
      <c r="F17" s="348"/>
      <c r="G17" s="15"/>
      <c r="H17" s="243" t="s">
        <v>341</v>
      </c>
      <c r="I17" s="37"/>
      <c r="J17" s="38"/>
      <c r="K17" s="38"/>
      <c r="L17"/>
      <c r="M17" s="15"/>
      <c r="N17" s="29" t="s">
        <v>342</v>
      </c>
      <c r="O17" s="30"/>
      <c r="P17" s="39"/>
      <c r="Q17" s="245"/>
      <c r="R17" s="18"/>
      <c r="S17" s="15"/>
    </row>
    <row r="18" spans="1:19" ht="18" customHeight="1" x14ac:dyDescent="0.2">
      <c r="A18" s="17"/>
      <c r="B18" s="259"/>
      <c r="C18" s="293"/>
      <c r="D18" s="293"/>
      <c r="E18" s="293"/>
      <c r="F18" s="293"/>
      <c r="G18" s="15"/>
      <c r="H18" s="243" t="s">
        <v>343</v>
      </c>
      <c r="I18" s="37"/>
      <c r="J18" s="38"/>
      <c r="K18" s="38"/>
      <c r="L18"/>
      <c r="M18" s="15"/>
      <c r="N18" s="35" t="s">
        <v>344</v>
      </c>
      <c r="O18" s="36"/>
      <c r="P18" s="40"/>
      <c r="Q18" s="245"/>
      <c r="R18" s="18"/>
      <c r="S18" s="15"/>
    </row>
    <row r="19" spans="1:19" ht="15" customHeight="1" thickBot="1" x14ac:dyDescent="0.2">
      <c r="A19" s="1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8"/>
      <c r="S19" s="15"/>
    </row>
    <row r="20" spans="1:19" ht="18" customHeight="1" x14ac:dyDescent="0.15">
      <c r="A20" s="17"/>
      <c r="B20" s="324" t="s">
        <v>345</v>
      </c>
      <c r="C20" s="337"/>
      <c r="D20" s="337"/>
      <c r="E20" s="337"/>
      <c r="F20" s="338"/>
      <c r="G20" s="15"/>
      <c r="H20" s="324" t="s">
        <v>346</v>
      </c>
      <c r="I20" s="337"/>
      <c r="J20" s="337"/>
      <c r="K20" s="337"/>
      <c r="L20" s="338"/>
      <c r="M20" s="41"/>
      <c r="N20" s="15"/>
      <c r="O20" s="324" t="s">
        <v>347</v>
      </c>
      <c r="P20" s="337"/>
      <c r="Q20" s="338"/>
      <c r="R20" s="18"/>
      <c r="S20" s="15"/>
    </row>
    <row r="21" spans="1:19" ht="17.25" customHeight="1" x14ac:dyDescent="0.2">
      <c r="A21" s="17"/>
      <c r="B21" s="371" t="s">
        <v>348</v>
      </c>
      <c r="C21" s="372"/>
      <c r="D21" s="373"/>
      <c r="E21" s="374"/>
      <c r="F21" s="375"/>
      <c r="G21" s="15"/>
      <c r="H21" s="371" t="s">
        <v>117</v>
      </c>
      <c r="I21" s="372"/>
      <c r="J21" s="373"/>
      <c r="K21" s="374"/>
      <c r="L21" s="375"/>
      <c r="M21" s="21"/>
      <c r="N21" s="15"/>
      <c r="O21" s="42" t="s">
        <v>33</v>
      </c>
      <c r="P21" s="43"/>
      <c r="Q21" s="208"/>
      <c r="R21" s="18"/>
      <c r="S21" s="15"/>
    </row>
    <row r="22" spans="1:19" ht="18" customHeight="1" x14ac:dyDescent="0.15">
      <c r="A22" s="17"/>
      <c r="B22" s="353" t="s">
        <v>118</v>
      </c>
      <c r="C22" s="354"/>
      <c r="D22" s="44" t="s">
        <v>119</v>
      </c>
      <c r="E22" s="44" t="s">
        <v>120</v>
      </c>
      <c r="F22" s="45" t="s">
        <v>121</v>
      </c>
      <c r="G22" s="15"/>
      <c r="H22" s="355" t="s">
        <v>118</v>
      </c>
      <c r="I22" s="356"/>
      <c r="J22" s="46" t="s">
        <v>119</v>
      </c>
      <c r="K22" s="46" t="s">
        <v>120</v>
      </c>
      <c r="L22" s="47" t="s">
        <v>121</v>
      </c>
      <c r="M22" s="48"/>
      <c r="N22" s="15"/>
      <c r="O22" s="49" t="s">
        <v>119</v>
      </c>
      <c r="P22" s="50" t="s">
        <v>120</v>
      </c>
      <c r="Q22" s="51" t="s">
        <v>121</v>
      </c>
      <c r="R22" s="18"/>
      <c r="S22" s="15"/>
    </row>
    <row r="23" spans="1:19" ht="12" customHeight="1" thickBot="1" x14ac:dyDescent="0.2">
      <c r="A23" s="17"/>
      <c r="B23" s="52" t="s">
        <v>122</v>
      </c>
      <c r="C23" s="53" t="s">
        <v>123</v>
      </c>
      <c r="D23" s="54"/>
      <c r="E23" s="54"/>
      <c r="F23" s="55"/>
      <c r="G23" s="15"/>
      <c r="H23" s="56" t="s">
        <v>122</v>
      </c>
      <c r="I23" s="57" t="s">
        <v>123</v>
      </c>
      <c r="J23" s="58"/>
      <c r="K23" s="58"/>
      <c r="L23" s="59"/>
      <c r="M23" s="21"/>
      <c r="N23" s="15"/>
      <c r="O23" s="60"/>
      <c r="P23" s="61"/>
      <c r="Q23" s="62"/>
      <c r="R23" s="18"/>
      <c r="S23" s="15"/>
    </row>
    <row r="24" spans="1:19" ht="18" customHeight="1" x14ac:dyDescent="0.2">
      <c r="A24" s="17"/>
      <c r="B24" s="63"/>
      <c r="C24" s="64"/>
      <c r="D24" s="65"/>
      <c r="E24" s="66"/>
      <c r="F24" s="67"/>
      <c r="G24" s="15"/>
      <c r="H24" s="68"/>
      <c r="I24" s="64"/>
      <c r="J24" s="65"/>
      <c r="K24" s="66"/>
      <c r="L24" s="69"/>
      <c r="M24" s="70"/>
      <c r="N24" s="15"/>
      <c r="O24" s="71"/>
      <c r="P24" s="66"/>
      <c r="Q24" s="69"/>
      <c r="R24" s="18"/>
      <c r="S24" s="15"/>
    </row>
    <row r="25" spans="1:19" ht="18" customHeight="1" x14ac:dyDescent="0.2">
      <c r="A25" s="17"/>
      <c r="B25" s="72"/>
      <c r="C25" s="73"/>
      <c r="D25" s="74"/>
      <c r="E25" s="75"/>
      <c r="F25" s="67"/>
      <c r="G25" s="15"/>
      <c r="H25" s="76"/>
      <c r="I25" s="73"/>
      <c r="J25" s="74"/>
      <c r="K25" s="75"/>
      <c r="L25" s="67"/>
      <c r="M25" s="70"/>
      <c r="N25" s="15"/>
      <c r="O25" s="77"/>
      <c r="P25" s="75"/>
      <c r="Q25" s="67"/>
      <c r="R25" s="18"/>
      <c r="S25" s="15"/>
    </row>
    <row r="26" spans="1:19" ht="18" customHeight="1" x14ac:dyDescent="0.2">
      <c r="A26" s="17"/>
      <c r="B26" s="72"/>
      <c r="C26" s="73"/>
      <c r="D26" s="74"/>
      <c r="E26" s="75"/>
      <c r="F26" s="67"/>
      <c r="G26" s="15"/>
      <c r="H26" s="76"/>
      <c r="I26" s="73"/>
      <c r="J26" s="74"/>
      <c r="K26" s="78"/>
      <c r="L26" s="67"/>
      <c r="M26" s="70"/>
      <c r="N26" s="15"/>
      <c r="O26" s="77"/>
      <c r="P26" s="75"/>
      <c r="Q26" s="67"/>
      <c r="R26" s="18"/>
      <c r="S26" s="15"/>
    </row>
    <row r="27" spans="1:19" ht="18" customHeight="1" x14ac:dyDescent="0.2">
      <c r="A27" s="17"/>
      <c r="B27" s="72"/>
      <c r="C27" s="73"/>
      <c r="D27" s="74"/>
      <c r="E27" s="75"/>
      <c r="F27" s="67"/>
      <c r="G27" s="15"/>
      <c r="H27" s="76"/>
      <c r="I27" s="73"/>
      <c r="J27" s="74"/>
      <c r="K27" s="75"/>
      <c r="L27" s="67"/>
      <c r="M27" s="70"/>
      <c r="N27" s="15"/>
      <c r="O27" s="77"/>
      <c r="P27" s="75"/>
      <c r="Q27" s="67"/>
      <c r="R27" s="18"/>
      <c r="S27" s="15"/>
    </row>
    <row r="28" spans="1:19" ht="18" customHeight="1" x14ac:dyDescent="0.2">
      <c r="A28" s="17"/>
      <c r="B28" s="72"/>
      <c r="C28" s="73"/>
      <c r="D28" s="74"/>
      <c r="E28" s="75"/>
      <c r="F28" s="67"/>
      <c r="G28" s="15"/>
      <c r="H28" s="76"/>
      <c r="I28" s="73"/>
      <c r="J28" s="74"/>
      <c r="K28" s="75"/>
      <c r="L28" s="67"/>
      <c r="M28" s="70"/>
      <c r="N28" s="15"/>
      <c r="O28" s="77"/>
      <c r="P28" s="75"/>
      <c r="Q28" s="67"/>
      <c r="R28" s="18"/>
      <c r="S28" s="15"/>
    </row>
    <row r="29" spans="1:19" ht="18" customHeight="1" x14ac:dyDescent="0.2">
      <c r="A29" s="17"/>
      <c r="B29" s="72"/>
      <c r="C29" s="73"/>
      <c r="D29" s="74"/>
      <c r="E29" s="75"/>
      <c r="F29" s="67"/>
      <c r="G29" s="15"/>
      <c r="H29" s="76"/>
      <c r="I29" s="73"/>
      <c r="J29" s="74"/>
      <c r="K29" s="75"/>
      <c r="L29" s="67"/>
      <c r="M29" s="70"/>
      <c r="N29" s="15"/>
      <c r="O29" s="77"/>
      <c r="P29" s="75"/>
      <c r="Q29" s="67"/>
      <c r="R29" s="18"/>
      <c r="S29" s="15"/>
    </row>
    <row r="30" spans="1:19" ht="18" customHeight="1" x14ac:dyDescent="0.2">
      <c r="A30" s="17"/>
      <c r="B30" s="72"/>
      <c r="C30" s="73"/>
      <c r="D30" s="74"/>
      <c r="E30" s="75"/>
      <c r="F30" s="67"/>
      <c r="G30" s="15"/>
      <c r="H30" s="76"/>
      <c r="I30" s="73"/>
      <c r="J30" s="74"/>
      <c r="K30" s="75"/>
      <c r="L30" s="67"/>
      <c r="M30" s="70"/>
      <c r="N30" s="15"/>
      <c r="O30" s="77"/>
      <c r="P30" s="75"/>
      <c r="Q30" s="67"/>
      <c r="R30" s="18"/>
      <c r="S30" s="15"/>
    </row>
    <row r="31" spans="1:19" ht="18" customHeight="1" x14ac:dyDescent="0.2">
      <c r="A31" s="17"/>
      <c r="B31" s="72"/>
      <c r="C31" s="73"/>
      <c r="D31" s="74"/>
      <c r="E31" s="75"/>
      <c r="F31" s="67"/>
      <c r="G31" s="15"/>
      <c r="H31" s="76"/>
      <c r="I31" s="73"/>
      <c r="J31" s="74"/>
      <c r="K31" s="75"/>
      <c r="L31" s="67"/>
      <c r="M31" s="70"/>
      <c r="N31" s="15"/>
      <c r="O31" s="77"/>
      <c r="P31" s="75"/>
      <c r="Q31" s="67"/>
      <c r="R31" s="18"/>
      <c r="S31" s="15"/>
    </row>
    <row r="32" spans="1:19" ht="18" customHeight="1" x14ac:dyDescent="0.2">
      <c r="A32" s="17"/>
      <c r="B32" s="72"/>
      <c r="C32" s="73"/>
      <c r="D32" s="74"/>
      <c r="E32" s="75"/>
      <c r="F32" s="67"/>
      <c r="G32" s="15"/>
      <c r="H32" s="76"/>
      <c r="I32" s="73"/>
      <c r="J32" s="74"/>
      <c r="K32" s="75"/>
      <c r="L32" s="67"/>
      <c r="M32" s="70"/>
      <c r="N32" s="15"/>
      <c r="O32" s="77"/>
      <c r="P32" s="75"/>
      <c r="Q32" s="67"/>
      <c r="R32" s="18"/>
      <c r="S32" s="15"/>
    </row>
    <row r="33" spans="1:19" ht="18" customHeight="1" x14ac:dyDescent="0.2">
      <c r="A33" s="17"/>
      <c r="B33" s="72"/>
      <c r="C33" s="73"/>
      <c r="D33" s="74"/>
      <c r="E33" s="75"/>
      <c r="F33" s="67"/>
      <c r="G33" s="15"/>
      <c r="H33" s="76"/>
      <c r="I33" s="73"/>
      <c r="J33" s="74"/>
      <c r="K33" s="75"/>
      <c r="L33" s="67"/>
      <c r="M33" s="70"/>
      <c r="N33" s="15"/>
      <c r="O33" s="77"/>
      <c r="P33" s="75"/>
      <c r="Q33" s="67"/>
      <c r="R33" s="18"/>
      <c r="S33" s="15"/>
    </row>
    <row r="34" spans="1:19" ht="18" customHeight="1" x14ac:dyDescent="0.2">
      <c r="A34" s="17"/>
      <c r="B34" s="72"/>
      <c r="C34" s="73"/>
      <c r="D34" s="74"/>
      <c r="E34" s="75"/>
      <c r="F34" s="67"/>
      <c r="G34" s="15"/>
      <c r="H34" s="76"/>
      <c r="I34" s="73"/>
      <c r="J34" s="74"/>
      <c r="K34" s="75"/>
      <c r="L34" s="67"/>
      <c r="M34" s="70"/>
      <c r="N34" s="15"/>
      <c r="O34" s="77"/>
      <c r="P34" s="75"/>
      <c r="Q34" s="67"/>
      <c r="R34" s="18"/>
      <c r="S34" s="15"/>
    </row>
    <row r="35" spans="1:19" ht="18" customHeight="1" x14ac:dyDescent="0.2">
      <c r="A35" s="17"/>
      <c r="B35" s="72"/>
      <c r="C35" s="73"/>
      <c r="D35" s="74"/>
      <c r="E35" s="75"/>
      <c r="F35" s="67"/>
      <c r="G35" s="15"/>
      <c r="H35" s="76"/>
      <c r="I35" s="73"/>
      <c r="J35" s="74"/>
      <c r="K35" s="75"/>
      <c r="L35" s="67"/>
      <c r="M35" s="70"/>
      <c r="N35" s="15"/>
      <c r="O35" s="77"/>
      <c r="P35" s="75"/>
      <c r="Q35" s="67"/>
      <c r="R35" s="18"/>
      <c r="S35" s="15"/>
    </row>
    <row r="36" spans="1:19" ht="18" customHeight="1" x14ac:dyDescent="0.2">
      <c r="A36" s="17"/>
      <c r="B36" s="72"/>
      <c r="C36" s="73"/>
      <c r="D36" s="74"/>
      <c r="E36" s="75"/>
      <c r="F36" s="67"/>
      <c r="G36" s="15"/>
      <c r="H36" s="76"/>
      <c r="I36" s="73"/>
      <c r="J36" s="74"/>
      <c r="K36" s="75"/>
      <c r="L36" s="67"/>
      <c r="M36" s="70"/>
      <c r="N36" s="15"/>
      <c r="O36" s="79"/>
      <c r="P36" s="80"/>
      <c r="Q36" s="81"/>
      <c r="R36" s="18"/>
      <c r="S36" s="15"/>
    </row>
    <row r="37" spans="1:19" ht="18" customHeight="1" x14ac:dyDescent="0.2">
      <c r="A37" s="17"/>
      <c r="B37" s="72"/>
      <c r="C37" s="73"/>
      <c r="D37" s="74"/>
      <c r="E37" s="75"/>
      <c r="F37" s="67"/>
      <c r="G37" s="15"/>
      <c r="H37" s="76"/>
      <c r="I37" s="73"/>
      <c r="J37" s="74"/>
      <c r="K37" s="75"/>
      <c r="L37" s="67"/>
      <c r="M37" s="70"/>
      <c r="N37" s="15"/>
      <c r="O37" s="77"/>
      <c r="P37" s="75"/>
      <c r="Q37" s="67"/>
      <c r="R37" s="18"/>
      <c r="S37" s="15"/>
    </row>
    <row r="38" spans="1:19" ht="18" customHeight="1" thickBot="1" x14ac:dyDescent="0.25">
      <c r="A38" s="82"/>
      <c r="B38" s="83"/>
      <c r="C38" s="84"/>
      <c r="D38" s="85"/>
      <c r="E38" s="86"/>
      <c r="F38" s="87"/>
      <c r="G38" s="15"/>
      <c r="H38" s="88"/>
      <c r="I38" s="84"/>
      <c r="J38" s="85"/>
      <c r="K38" s="86"/>
      <c r="L38" s="87"/>
      <c r="M38" s="70"/>
      <c r="N38" s="15"/>
      <c r="O38" s="89"/>
      <c r="P38" s="86"/>
      <c r="Q38" s="87"/>
      <c r="R38" s="18"/>
      <c r="S38" s="15"/>
    </row>
    <row r="39" spans="1:19" ht="15" customHeight="1" thickBot="1" x14ac:dyDescent="0.2">
      <c r="A39" s="17"/>
      <c r="B39" s="25"/>
      <c r="C39" s="15"/>
      <c r="D39" s="90">
        <f>SUM(D24:D38)</f>
        <v>0</v>
      </c>
      <c r="E39" s="91">
        <f>SUM(E24:E38)</f>
        <v>0</v>
      </c>
      <c r="F39" s="91">
        <f>SUM(F24:F38)</f>
        <v>0</v>
      </c>
      <c r="G39" s="15"/>
      <c r="H39" s="25"/>
      <c r="I39" s="15"/>
      <c r="J39" s="90">
        <f>SUM(J24:J38)</f>
        <v>0</v>
      </c>
      <c r="K39" s="91">
        <f>SUM(K24:K38)</f>
        <v>0</v>
      </c>
      <c r="L39" s="91">
        <f>SUM(L24:L38)</f>
        <v>0</v>
      </c>
      <c r="M39" s="15"/>
      <c r="N39" s="15"/>
      <c r="O39" s="92"/>
      <c r="P39" s="91">
        <f>SUM(P24:P38)</f>
        <v>0</v>
      </c>
      <c r="Q39" s="91">
        <f>SUM(Q24:Q38)</f>
        <v>0</v>
      </c>
      <c r="R39" s="18"/>
      <c r="S39" s="15"/>
    </row>
    <row r="40" spans="1:19" ht="18" customHeight="1" thickBot="1" x14ac:dyDescent="0.2">
      <c r="A40" s="17"/>
      <c r="B40" s="324" t="s">
        <v>124</v>
      </c>
      <c r="C40" s="349"/>
      <c r="D40" s="349"/>
      <c r="E40" s="349"/>
      <c r="F40" s="349"/>
      <c r="G40" s="350"/>
      <c r="H40" s="15"/>
      <c r="I40" s="351" t="s">
        <v>125</v>
      </c>
      <c r="J40" s="352"/>
      <c r="K40" s="352"/>
      <c r="L40" s="352"/>
      <c r="M40" s="352"/>
      <c r="N40"/>
      <c r="R40" s="18"/>
      <c r="S40" s="15"/>
    </row>
    <row r="41" spans="1:19" ht="18" customHeight="1" thickBot="1" x14ac:dyDescent="0.2">
      <c r="A41" s="17"/>
      <c r="B41" s="353" t="s">
        <v>118</v>
      </c>
      <c r="C41" s="354"/>
      <c r="D41" s="357"/>
      <c r="E41" s="358"/>
      <c r="F41" s="358"/>
      <c r="G41" s="359"/>
      <c r="H41" s="15"/>
      <c r="I41" s="93" t="s">
        <v>119</v>
      </c>
      <c r="J41" s="94" t="s">
        <v>120</v>
      </c>
      <c r="K41" s="95" t="s">
        <v>121</v>
      </c>
      <c r="L41" s="360" t="s">
        <v>127</v>
      </c>
      <c r="M41" s="361"/>
      <c r="N41"/>
      <c r="R41" s="18"/>
      <c r="S41" s="15"/>
    </row>
    <row r="42" spans="1:19" ht="18" customHeight="1" thickBot="1" x14ac:dyDescent="0.25">
      <c r="A42" s="17"/>
      <c r="B42" s="97" t="s">
        <v>122</v>
      </c>
      <c r="C42" s="98" t="s">
        <v>123</v>
      </c>
      <c r="D42" s="99" t="s">
        <v>119</v>
      </c>
      <c r="E42" s="100" t="s">
        <v>120</v>
      </c>
      <c r="F42" s="100" t="s">
        <v>121</v>
      </c>
      <c r="G42" s="101" t="s">
        <v>129</v>
      </c>
      <c r="H42" s="15"/>
      <c r="I42" s="102"/>
      <c r="J42" s="103"/>
      <c r="K42" s="103"/>
      <c r="L42" s="320"/>
      <c r="M42" s="323"/>
      <c r="N42"/>
      <c r="R42" s="18"/>
      <c r="S42" s="15"/>
    </row>
    <row r="43" spans="1:19" ht="18" customHeight="1" thickBot="1" x14ac:dyDescent="0.25">
      <c r="A43" s="17"/>
      <c r="B43" s="368" t="s">
        <v>131</v>
      </c>
      <c r="C43" s="369"/>
      <c r="D43" s="369"/>
      <c r="E43" s="369"/>
      <c r="F43" s="369"/>
      <c r="G43" s="370"/>
      <c r="H43" s="15"/>
      <c r="I43" s="254"/>
      <c r="J43" s="263"/>
      <c r="K43" s="263"/>
      <c r="L43" s="364"/>
      <c r="M43" s="365"/>
      <c r="N43"/>
      <c r="O43" s="324" t="s">
        <v>126</v>
      </c>
      <c r="P43" s="349"/>
      <c r="Q43" s="350"/>
      <c r="R43" s="18"/>
      <c r="S43" s="15"/>
    </row>
    <row r="44" spans="1:19" ht="18" customHeight="1" x14ac:dyDescent="0.2">
      <c r="A44" s="17"/>
      <c r="B44" s="106"/>
      <c r="C44" s="107"/>
      <c r="D44" s="108"/>
      <c r="E44" s="109"/>
      <c r="F44" s="109"/>
      <c r="G44" s="110" t="s">
        <v>133</v>
      </c>
      <c r="H44" s="15"/>
      <c r="I44"/>
      <c r="J44"/>
      <c r="K44"/>
      <c r="L44"/>
      <c r="M44"/>
      <c r="N44"/>
      <c r="O44" s="362" t="s">
        <v>128</v>
      </c>
      <c r="P44" s="363"/>
      <c r="Q44" s="96">
        <f>D39+J39</f>
        <v>0</v>
      </c>
      <c r="R44" s="18"/>
      <c r="S44" s="15"/>
    </row>
    <row r="45" spans="1:19" ht="18" customHeight="1" thickBot="1" x14ac:dyDescent="0.25">
      <c r="A45" s="17"/>
      <c r="B45" s="111"/>
      <c r="C45" s="112"/>
      <c r="D45" s="113"/>
      <c r="E45" s="78"/>
      <c r="F45" s="78"/>
      <c r="G45" s="114" t="s">
        <v>133</v>
      </c>
      <c r="H45" s="15"/>
      <c r="I45" s="351" t="s">
        <v>136</v>
      </c>
      <c r="J45" s="352"/>
      <c r="K45" s="352"/>
      <c r="L45" s="352"/>
      <c r="M45" s="352"/>
      <c r="N45"/>
      <c r="O45" s="366" t="s">
        <v>130</v>
      </c>
      <c r="P45" s="367"/>
      <c r="Q45" s="105">
        <f>SUM(O24:O38)</f>
        <v>0</v>
      </c>
      <c r="R45" s="18"/>
      <c r="S45" s="15"/>
    </row>
    <row r="46" spans="1:19" ht="18" customHeight="1" thickBot="1" x14ac:dyDescent="0.25">
      <c r="A46" s="17"/>
      <c r="B46" s="111"/>
      <c r="C46" s="112"/>
      <c r="D46" s="113"/>
      <c r="E46" s="78"/>
      <c r="F46" s="78"/>
      <c r="G46" s="114" t="s">
        <v>133</v>
      </c>
      <c r="H46" s="15"/>
      <c r="I46" s="122" t="s">
        <v>119</v>
      </c>
      <c r="J46" s="123" t="s">
        <v>120</v>
      </c>
      <c r="K46" s="123" t="s">
        <v>121</v>
      </c>
      <c r="L46" s="267" t="s">
        <v>127</v>
      </c>
      <c r="M46" s="268" t="s">
        <v>68</v>
      </c>
      <c r="N46"/>
      <c r="O46" s="333" t="s">
        <v>132</v>
      </c>
      <c r="P46" s="334"/>
      <c r="Q46" s="105">
        <f>SUM(D44:D47)</f>
        <v>0</v>
      </c>
      <c r="R46" s="18"/>
      <c r="S46" s="15"/>
    </row>
    <row r="47" spans="1:19" ht="18" customHeight="1" thickBot="1" x14ac:dyDescent="0.25">
      <c r="A47" s="17"/>
      <c r="B47" s="117"/>
      <c r="C47" s="118"/>
      <c r="D47" s="119"/>
      <c r="E47" s="120"/>
      <c r="F47" s="120"/>
      <c r="G47" s="121" t="s">
        <v>133</v>
      </c>
      <c r="H47" s="15"/>
      <c r="I47" s="102"/>
      <c r="J47" s="103"/>
      <c r="K47" s="103"/>
      <c r="L47" s="269"/>
      <c r="M47" s="270"/>
      <c r="N47"/>
      <c r="O47" s="335" t="s">
        <v>134</v>
      </c>
      <c r="P47" s="336"/>
      <c r="Q47" s="247">
        <f>SUM(D49:D52)</f>
        <v>0</v>
      </c>
      <c r="R47" s="18"/>
      <c r="S47" s="15"/>
    </row>
    <row r="48" spans="1:19" ht="18" customHeight="1" x14ac:dyDescent="0.2">
      <c r="A48" s="17"/>
      <c r="B48" s="341" t="s">
        <v>137</v>
      </c>
      <c r="C48" s="342"/>
      <c r="D48" s="342"/>
      <c r="E48" s="342"/>
      <c r="F48" s="342"/>
      <c r="G48" s="343"/>
      <c r="H48" s="15"/>
      <c r="I48" s="77"/>
      <c r="J48" s="75"/>
      <c r="K48" s="75"/>
      <c r="L48" s="271"/>
      <c r="M48" s="272"/>
      <c r="N48"/>
      <c r="O48" s="124"/>
      <c r="R48" s="18"/>
      <c r="S48" s="15"/>
    </row>
    <row r="49" spans="1:19" ht="18" customHeight="1" thickBot="1" x14ac:dyDescent="0.25">
      <c r="A49" s="82"/>
      <c r="B49" s="106"/>
      <c r="C49" s="107"/>
      <c r="D49" s="108"/>
      <c r="E49" s="109"/>
      <c r="F49" s="109"/>
      <c r="G49" s="209"/>
      <c r="H49" s="15"/>
      <c r="I49" s="77"/>
      <c r="J49" s="75"/>
      <c r="K49" s="75"/>
      <c r="L49" s="271"/>
      <c r="M49" s="272"/>
      <c r="N49"/>
      <c r="R49" s="18"/>
      <c r="S49" s="15"/>
    </row>
    <row r="50" spans="1:19" ht="18" customHeight="1" thickBot="1" x14ac:dyDescent="0.25">
      <c r="A50" s="17"/>
      <c r="B50" s="117"/>
      <c r="C50" s="118"/>
      <c r="D50" s="119"/>
      <c r="E50" s="120"/>
      <c r="F50" s="120"/>
      <c r="G50" s="209"/>
      <c r="H50" s="15"/>
      <c r="I50" s="71"/>
      <c r="J50" s="109"/>
      <c r="K50" s="66"/>
      <c r="L50" s="265"/>
      <c r="M50" s="273"/>
      <c r="N50"/>
      <c r="O50" s="344" t="s">
        <v>37</v>
      </c>
      <c r="P50" s="345"/>
      <c r="Q50" s="126">
        <f>SUM(Q44:Q47)</f>
        <v>0</v>
      </c>
      <c r="R50" s="18"/>
      <c r="S50" s="15"/>
    </row>
    <row r="51" spans="1:19" ht="18" customHeight="1" thickBot="1" x14ac:dyDescent="0.25">
      <c r="A51" s="17"/>
      <c r="B51" s="129"/>
      <c r="C51" s="130"/>
      <c r="D51" s="131"/>
      <c r="E51" s="132"/>
      <c r="F51" s="132"/>
      <c r="G51" s="210"/>
      <c r="H51" s="15"/>
      <c r="I51" s="127"/>
      <c r="J51" s="128"/>
      <c r="K51" s="128"/>
      <c r="L51" s="265"/>
      <c r="M51" s="273"/>
      <c r="N51"/>
      <c r="R51" s="18"/>
      <c r="S51" s="15"/>
    </row>
    <row r="52" spans="1:19" ht="18" customHeight="1" thickBot="1" x14ac:dyDescent="0.25">
      <c r="A52" s="17"/>
      <c r="B52" s="134"/>
      <c r="C52" s="135"/>
      <c r="D52" s="136"/>
      <c r="E52" s="137"/>
      <c r="F52" s="137"/>
      <c r="G52" s="211"/>
      <c r="H52" s="15"/>
      <c r="I52" s="89"/>
      <c r="J52" s="86"/>
      <c r="K52" s="86"/>
      <c r="L52" s="266"/>
      <c r="M52" s="274"/>
      <c r="N52"/>
      <c r="O52" s="346" t="s">
        <v>36</v>
      </c>
      <c r="P52" s="347"/>
      <c r="Q52" s="133">
        <f>I42+I43+I53</f>
        <v>0</v>
      </c>
      <c r="R52" s="18"/>
      <c r="S52" s="15"/>
    </row>
    <row r="53" spans="1:19" ht="15" customHeight="1" x14ac:dyDescent="0.15">
      <c r="A53" s="17"/>
      <c r="B53" s="15"/>
      <c r="C53" s="15"/>
      <c r="D53" s="92"/>
      <c r="E53" s="91">
        <f>SUM(E44+E45+E46+E47+E49+E50+E51+E52)</f>
        <v>0</v>
      </c>
      <c r="F53" s="91">
        <f>SUM(F44+F45+F46+F47+F49+F50+F51+F52)</f>
        <v>0</v>
      </c>
      <c r="G53" s="139"/>
      <c r="H53" s="15"/>
      <c r="I53" s="246">
        <f>SUM(I47:I52)</f>
        <v>0</v>
      </c>
      <c r="J53"/>
      <c r="K53"/>
      <c r="L53"/>
      <c r="M53"/>
      <c r="N53"/>
      <c r="O53"/>
      <c r="P53"/>
      <c r="Q53"/>
      <c r="R53" s="18"/>
      <c r="S53" s="15"/>
    </row>
    <row r="54" spans="1:19" ht="12" customHeight="1" x14ac:dyDescent="0.2">
      <c r="A54" s="104"/>
      <c r="B54" s="140"/>
      <c r="C54" s="140"/>
      <c r="D54" s="140"/>
      <c r="E54" s="140"/>
      <c r="F54" s="140"/>
      <c r="G54" s="140"/>
      <c r="H54" s="140"/>
      <c r="I54" s="141" t="s">
        <v>140</v>
      </c>
      <c r="J54" s="142"/>
      <c r="K54" s="140"/>
      <c r="L54" s="140"/>
      <c r="M54" s="140"/>
      <c r="N54" s="140"/>
      <c r="O54" s="143"/>
      <c r="P54" s="144"/>
      <c r="Q54" s="144"/>
      <c r="R54" s="145"/>
      <c r="S54" s="15"/>
    </row>
    <row r="55" spans="1:19" ht="12" customHeight="1" x14ac:dyDescent="0.15">
      <c r="A55" s="17"/>
      <c r="B55" s="15"/>
      <c r="C55" s="15"/>
      <c r="D55" s="15"/>
      <c r="E55" s="15"/>
      <c r="F55" s="15"/>
      <c r="G55" s="15"/>
      <c r="I55" s="146" t="s">
        <v>141</v>
      </c>
      <c r="J55" s="15"/>
      <c r="K55" s="15"/>
      <c r="L55" s="15"/>
      <c r="M55" s="15"/>
      <c r="N55" s="15"/>
      <c r="O55" s="15"/>
      <c r="P55" s="15"/>
      <c r="Q55" s="15"/>
      <c r="R55" s="18"/>
      <c r="S55" s="15"/>
    </row>
    <row r="56" spans="1:19" ht="15" customHeight="1" thickBot="1" x14ac:dyDescent="0.2">
      <c r="A56" s="17"/>
      <c r="B56" s="15"/>
      <c r="C56"/>
      <c r="D56"/>
      <c r="E56"/>
      <c r="F56"/>
      <c r="G56" s="146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8"/>
      <c r="S56" s="15"/>
    </row>
    <row r="57" spans="1:19" ht="18" customHeight="1" x14ac:dyDescent="0.15">
      <c r="A57" s="17"/>
      <c r="B57" s="324" t="s">
        <v>142</v>
      </c>
      <c r="C57" s="337"/>
      <c r="D57" s="337"/>
      <c r="E57" s="337"/>
      <c r="F57" s="337"/>
      <c r="G57" s="338"/>
      <c r="H57"/>
      <c r="I57" s="324" t="s">
        <v>79</v>
      </c>
      <c r="J57" s="337"/>
      <c r="K57" s="337"/>
      <c r="L57" s="338"/>
      <c r="M57" s="15"/>
      <c r="N57" s="324" t="s">
        <v>143</v>
      </c>
      <c r="O57" s="339"/>
      <c r="P57" s="339"/>
      <c r="Q57" s="340"/>
      <c r="R57" s="18"/>
      <c r="S57" s="15"/>
    </row>
    <row r="58" spans="1:19" ht="18" customHeight="1" thickBot="1" x14ac:dyDescent="0.2">
      <c r="A58" s="17"/>
      <c r="B58" s="147" t="s">
        <v>119</v>
      </c>
      <c r="C58" s="148" t="s">
        <v>144</v>
      </c>
      <c r="D58" s="149"/>
      <c r="E58" s="150"/>
      <c r="F58" s="151" t="s">
        <v>145</v>
      </c>
      <c r="G58" s="152"/>
      <c r="H58"/>
      <c r="I58" s="153" t="s">
        <v>119</v>
      </c>
      <c r="J58" s="154"/>
      <c r="K58" s="155" t="s">
        <v>145</v>
      </c>
      <c r="L58" s="152"/>
      <c r="M58" s="15"/>
      <c r="N58" s="307"/>
      <c r="O58" s="306"/>
      <c r="P58" s="94" t="s">
        <v>119</v>
      </c>
      <c r="Q58" s="275" t="s">
        <v>146</v>
      </c>
      <c r="R58" s="18"/>
      <c r="S58" s="15"/>
    </row>
    <row r="59" spans="1:19" ht="18" customHeight="1" x14ac:dyDescent="0.2">
      <c r="A59" s="17"/>
      <c r="B59" s="156"/>
      <c r="C59" s="330"/>
      <c r="D59" s="331"/>
      <c r="E59" s="332"/>
      <c r="F59" s="320"/>
      <c r="G59" s="323"/>
      <c r="H59"/>
      <c r="I59" s="102"/>
      <c r="J59" s="252" t="s">
        <v>80</v>
      </c>
      <c r="K59" s="310"/>
      <c r="L59" s="311"/>
      <c r="M59" s="15"/>
      <c r="N59" s="308" t="s">
        <v>147</v>
      </c>
      <c r="O59" s="309"/>
      <c r="P59" s="310"/>
      <c r="Q59" s="311"/>
      <c r="R59" s="18"/>
      <c r="S59" s="15"/>
    </row>
    <row r="60" spans="1:19" ht="18" customHeight="1" x14ac:dyDescent="0.2">
      <c r="A60" s="17"/>
      <c r="B60" s="157"/>
      <c r="C60" s="330"/>
      <c r="D60" s="331"/>
      <c r="E60" s="332"/>
      <c r="F60" s="316"/>
      <c r="G60" s="317"/>
      <c r="H60"/>
      <c r="I60" s="77"/>
      <c r="J60" s="253" t="s">
        <v>39</v>
      </c>
      <c r="K60" s="292"/>
      <c r="L60" s="294"/>
      <c r="M60" s="15"/>
      <c r="N60" s="301" t="s">
        <v>148</v>
      </c>
      <c r="O60" s="302"/>
      <c r="P60" s="292"/>
      <c r="Q60" s="294"/>
      <c r="R60" s="18"/>
      <c r="S60" s="15"/>
    </row>
    <row r="61" spans="1:19" ht="18" customHeight="1" thickBot="1" x14ac:dyDescent="0.25">
      <c r="A61" s="17"/>
      <c r="B61" s="157"/>
      <c r="C61" s="330"/>
      <c r="D61" s="331"/>
      <c r="E61" s="332"/>
      <c r="F61" s="316"/>
      <c r="G61" s="317"/>
      <c r="H61"/>
      <c r="I61" s="254"/>
      <c r="J61" s="255" t="s">
        <v>40</v>
      </c>
      <c r="K61" s="303"/>
      <c r="L61" s="304"/>
      <c r="M61" s="15"/>
      <c r="N61" s="301" t="s">
        <v>148</v>
      </c>
      <c r="O61" s="302"/>
      <c r="P61" s="292"/>
      <c r="Q61" s="294"/>
      <c r="R61" s="18"/>
      <c r="S61" s="15"/>
    </row>
    <row r="62" spans="1:19" ht="18" customHeight="1" thickBot="1" x14ac:dyDescent="0.25">
      <c r="A62" s="17"/>
      <c r="B62" s="157"/>
      <c r="C62" s="330"/>
      <c r="D62" s="331"/>
      <c r="E62" s="332"/>
      <c r="F62" s="316"/>
      <c r="G62" s="317"/>
      <c r="H62"/>
      <c r="I62" s="298" t="s">
        <v>78</v>
      </c>
      <c r="J62" s="299"/>
      <c r="K62" s="299"/>
      <c r="L62" s="300"/>
      <c r="M62" s="15"/>
      <c r="N62" s="305" t="s">
        <v>149</v>
      </c>
      <c r="O62" s="306"/>
      <c r="P62" s="303"/>
      <c r="Q62" s="304"/>
      <c r="R62" s="18"/>
      <c r="S62" s="15"/>
    </row>
    <row r="63" spans="1:19" ht="18" customHeight="1" thickBot="1" x14ac:dyDescent="0.25">
      <c r="A63" s="17"/>
      <c r="B63" s="160"/>
      <c r="C63" s="327"/>
      <c r="D63" s="328"/>
      <c r="E63" s="329"/>
      <c r="F63" s="312"/>
      <c r="G63" s="315"/>
      <c r="H63"/>
      <c r="I63" s="278" t="s">
        <v>119</v>
      </c>
      <c r="J63" s="289" t="s">
        <v>145</v>
      </c>
      <c r="K63" s="290"/>
      <c r="L63" s="291"/>
      <c r="M63" s="15"/>
      <c r="N63" s="15"/>
      <c r="O63" s="15"/>
      <c r="P63" s="158" t="s">
        <v>150</v>
      </c>
      <c r="Q63" s="15"/>
      <c r="R63" s="18"/>
      <c r="S63" s="15"/>
    </row>
    <row r="64" spans="1:19" ht="18" customHeight="1" thickBot="1" x14ac:dyDescent="0.25">
      <c r="A64" s="17"/>
      <c r="B64"/>
      <c r="C64"/>
      <c r="D64"/>
      <c r="E64"/>
      <c r="F64"/>
      <c r="G64"/>
      <c r="H64"/>
      <c r="I64" s="277"/>
      <c r="J64" s="292"/>
      <c r="K64" s="293"/>
      <c r="L64" s="294"/>
      <c r="M64" s="159"/>
      <c r="N64"/>
      <c r="O64"/>
      <c r="P64"/>
      <c r="Q64"/>
      <c r="R64" s="18"/>
      <c r="S64" s="15"/>
    </row>
    <row r="65" spans="1:19" ht="18" customHeight="1" thickBot="1" x14ac:dyDescent="0.2">
      <c r="A65" s="17"/>
      <c r="B65" s="324" t="s">
        <v>38</v>
      </c>
      <c r="C65" s="325"/>
      <c r="D65" s="325"/>
      <c r="E65" s="325"/>
      <c r="F65" s="325"/>
      <c r="G65" s="326"/>
      <c r="H65"/>
      <c r="I65" s="276"/>
      <c r="J65" s="295"/>
      <c r="K65" s="296"/>
      <c r="L65" s="297"/>
      <c r="M65" s="159"/>
      <c r="N65"/>
      <c r="O65"/>
      <c r="P65"/>
      <c r="Q65"/>
      <c r="R65" s="18"/>
      <c r="S65" s="15"/>
    </row>
    <row r="66" spans="1:19" ht="18" customHeight="1" thickBot="1" x14ac:dyDescent="0.25">
      <c r="A66" s="17"/>
      <c r="B66" s="248" t="s">
        <v>119</v>
      </c>
      <c r="C66" s="148" t="s">
        <v>144</v>
      </c>
      <c r="D66" s="149"/>
      <c r="E66" s="249"/>
      <c r="F66" s="250" t="s">
        <v>145</v>
      </c>
      <c r="G66" s="251"/>
      <c r="H66"/>
      <c r="I66" s="256" t="s">
        <v>203</v>
      </c>
      <c r="J66"/>
      <c r="K66"/>
      <c r="M66" s="257"/>
      <c r="N66"/>
      <c r="O66"/>
      <c r="P66"/>
      <c r="Q66"/>
      <c r="R66" s="18"/>
      <c r="S66" s="15"/>
    </row>
    <row r="67" spans="1:19" ht="18" customHeight="1" x14ac:dyDescent="0.2">
      <c r="A67" s="17"/>
      <c r="B67" s="102"/>
      <c r="C67" s="320"/>
      <c r="D67" s="321"/>
      <c r="E67" s="322"/>
      <c r="F67" s="320"/>
      <c r="G67" s="323"/>
      <c r="H67"/>
      <c r="I67" s="261"/>
      <c r="J67" s="261"/>
      <c r="K67" s="261"/>
      <c r="L67" s="261"/>
      <c r="M67" s="261"/>
      <c r="N67" s="261"/>
      <c r="O67" s="261"/>
      <c r="P67" s="261"/>
      <c r="Q67" s="261"/>
      <c r="R67" s="18"/>
      <c r="S67" s="15"/>
    </row>
    <row r="68" spans="1:19" ht="18" customHeight="1" x14ac:dyDescent="0.2">
      <c r="A68" s="17"/>
      <c r="B68" s="77"/>
      <c r="C68" s="316"/>
      <c r="D68" s="318"/>
      <c r="E68" s="319"/>
      <c r="F68" s="316"/>
      <c r="G68" s="317"/>
      <c r="H68"/>
      <c r="I68" s="262"/>
      <c r="J68" s="262"/>
      <c r="K68" s="262"/>
      <c r="L68" s="262"/>
      <c r="M68" s="262"/>
      <c r="N68" s="262"/>
      <c r="O68" s="262"/>
      <c r="P68" s="262"/>
      <c r="Q68" s="262"/>
      <c r="R68" s="18"/>
      <c r="S68" s="15"/>
    </row>
    <row r="69" spans="1:19" ht="18" customHeight="1" x14ac:dyDescent="0.2">
      <c r="A69" s="17"/>
      <c r="B69" s="77"/>
      <c r="C69" s="316"/>
      <c r="D69" s="318"/>
      <c r="E69" s="319"/>
      <c r="F69" s="316"/>
      <c r="G69" s="317"/>
      <c r="H69"/>
      <c r="I69" s="262"/>
      <c r="J69" s="262"/>
      <c r="K69" s="262"/>
      <c r="L69" s="262"/>
      <c r="M69" s="262"/>
      <c r="N69" s="262"/>
      <c r="O69" s="262"/>
      <c r="P69" s="262"/>
      <c r="Q69" s="262"/>
      <c r="R69" s="18"/>
      <c r="S69" s="15"/>
    </row>
    <row r="70" spans="1:19" ht="18" customHeight="1" thickBot="1" x14ac:dyDescent="0.25">
      <c r="A70" s="17"/>
      <c r="B70" s="89"/>
      <c r="C70" s="312"/>
      <c r="D70" s="313"/>
      <c r="E70" s="314"/>
      <c r="F70" s="312"/>
      <c r="G70" s="315"/>
      <c r="H70"/>
      <c r="I70" s="262"/>
      <c r="J70" s="262"/>
      <c r="K70" s="262"/>
      <c r="L70" s="262"/>
      <c r="M70" s="262"/>
      <c r="N70" s="262"/>
      <c r="O70" s="262"/>
      <c r="P70" s="262"/>
      <c r="Q70" s="262"/>
      <c r="R70" s="18"/>
      <c r="S70" s="15"/>
    </row>
    <row r="71" spans="1:19" ht="18" customHeight="1" x14ac:dyDescent="0.15">
      <c r="A71" s="17"/>
      <c r="C71" s="15"/>
      <c r="D71" s="15"/>
      <c r="E71" s="15"/>
      <c r="F71" s="15"/>
      <c r="G71" s="15"/>
      <c r="H71"/>
      <c r="I71"/>
      <c r="J71"/>
      <c r="K71"/>
      <c r="L71"/>
      <c r="M71"/>
      <c r="N71"/>
      <c r="O71"/>
      <c r="P71"/>
      <c r="Q71"/>
      <c r="R71" s="18"/>
      <c r="S71" s="15"/>
    </row>
    <row r="72" spans="1:19" ht="15" customHeight="1" x14ac:dyDescent="0.15">
      <c r="A72" s="104"/>
      <c r="B72" s="240" t="s">
        <v>41</v>
      </c>
      <c r="C72" s="140"/>
      <c r="D72" s="140"/>
      <c r="E72" s="140"/>
      <c r="F72" s="140"/>
      <c r="G72" s="140"/>
      <c r="H72" s="240"/>
      <c r="I72" s="140"/>
      <c r="J72" s="140"/>
      <c r="K72" s="140"/>
      <c r="L72" s="140"/>
      <c r="M72" s="140"/>
      <c r="N72" s="140"/>
      <c r="O72" s="140"/>
      <c r="P72" s="161"/>
      <c r="Q72" s="162" t="s">
        <v>27</v>
      </c>
      <c r="R72" s="145"/>
      <c r="S72" s="15"/>
    </row>
  </sheetData>
  <sheetProtection password="C41E" sheet="1" objects="1" scenarios="1"/>
  <mergeCells count="86">
    <mergeCell ref="B5:E5"/>
    <mergeCell ref="B2:E2"/>
    <mergeCell ref="B3:E3"/>
    <mergeCell ref="B4:E4"/>
    <mergeCell ref="B8:C8"/>
    <mergeCell ref="D8:F8"/>
    <mergeCell ref="P8:Q8"/>
    <mergeCell ref="B10:C10"/>
    <mergeCell ref="D10:F10"/>
    <mergeCell ref="L10:O10"/>
    <mergeCell ref="P10:Q10"/>
    <mergeCell ref="B12:C12"/>
    <mergeCell ref="D12:F12"/>
    <mergeCell ref="L12:M12"/>
    <mergeCell ref="N12:Q12"/>
    <mergeCell ref="C16:F16"/>
    <mergeCell ref="D15:F15"/>
    <mergeCell ref="C14:E14"/>
    <mergeCell ref="P14:Q14"/>
    <mergeCell ref="O20:Q20"/>
    <mergeCell ref="B21:D21"/>
    <mergeCell ref="E21:F21"/>
    <mergeCell ref="H21:J21"/>
    <mergeCell ref="K21:L21"/>
    <mergeCell ref="O44:P44"/>
    <mergeCell ref="L43:M43"/>
    <mergeCell ref="I45:M45"/>
    <mergeCell ref="O45:P45"/>
    <mergeCell ref="B43:G43"/>
    <mergeCell ref="O43:Q43"/>
    <mergeCell ref="L42:M42"/>
    <mergeCell ref="B22:C22"/>
    <mergeCell ref="H22:I22"/>
    <mergeCell ref="B41:C41"/>
    <mergeCell ref="D41:G41"/>
    <mergeCell ref="L41:M41"/>
    <mergeCell ref="C17:F17"/>
    <mergeCell ref="B40:G40"/>
    <mergeCell ref="I40:M40"/>
    <mergeCell ref="B20:F20"/>
    <mergeCell ref="H20:L20"/>
    <mergeCell ref="C18:F18"/>
    <mergeCell ref="O46:P46"/>
    <mergeCell ref="O47:P47"/>
    <mergeCell ref="B57:G57"/>
    <mergeCell ref="I57:L57"/>
    <mergeCell ref="N57:Q57"/>
    <mergeCell ref="B48:G48"/>
    <mergeCell ref="O50:P50"/>
    <mergeCell ref="O52:P52"/>
    <mergeCell ref="C59:E59"/>
    <mergeCell ref="F59:G59"/>
    <mergeCell ref="C60:E60"/>
    <mergeCell ref="C62:E62"/>
    <mergeCell ref="F62:G62"/>
    <mergeCell ref="F60:G60"/>
    <mergeCell ref="C61:E61"/>
    <mergeCell ref="F61:G61"/>
    <mergeCell ref="P60:Q60"/>
    <mergeCell ref="C70:E70"/>
    <mergeCell ref="F70:G70"/>
    <mergeCell ref="F69:G69"/>
    <mergeCell ref="C68:E68"/>
    <mergeCell ref="F68:G68"/>
    <mergeCell ref="C69:E69"/>
    <mergeCell ref="C67:E67"/>
    <mergeCell ref="F67:G67"/>
    <mergeCell ref="B65:G65"/>
    <mergeCell ref="C63:E63"/>
    <mergeCell ref="F63:G63"/>
    <mergeCell ref="O2:Q6"/>
    <mergeCell ref="J63:L63"/>
    <mergeCell ref="J64:L64"/>
    <mergeCell ref="J65:L65"/>
    <mergeCell ref="I62:L62"/>
    <mergeCell ref="N60:O60"/>
    <mergeCell ref="N61:O61"/>
    <mergeCell ref="K61:L61"/>
    <mergeCell ref="P62:Q62"/>
    <mergeCell ref="P61:Q61"/>
    <mergeCell ref="N62:O62"/>
    <mergeCell ref="N58:O58"/>
    <mergeCell ref="N59:O59"/>
    <mergeCell ref="P59:Q59"/>
    <mergeCell ref="K59:L59"/>
    <mergeCell ref="K60:L60"/>
  </mergeCells>
  <phoneticPr fontId="0" type="noConversion"/>
  <dataValidations count="14">
    <dataValidation type="list" allowBlank="1" showInputMessage="1" showErrorMessage="1" sqref="K59:L59 J64:L64 J65:L65">
      <formula1>Laminate</formula1>
    </dataValidation>
    <dataValidation type="list" allowBlank="1" showInputMessage="1" showErrorMessage="1" sqref="K60:L61">
      <formula1>PSA</formula1>
    </dataValidation>
    <dataValidation type="list" allowBlank="1" showInputMessage="1" showErrorMessage="1" sqref="N12:Q12 F67:G70 F59:G63">
      <formula1>Colours</formula1>
    </dataValidation>
    <dataValidation type="list" allowBlank="1" showInputMessage="1" showErrorMessage="1" sqref="L47:L52">
      <formula1>Gables</formula1>
    </dataValidation>
    <dataValidation type="list" allowBlank="1" showInputMessage="1" showErrorMessage="1" sqref="L42:M43">
      <formula1>Valance</formula1>
    </dataValidation>
    <dataValidation type="list" allowBlank="1" showInputMessage="1" showErrorMessage="1" sqref="G49:G52">
      <formula1>Lites</formula1>
    </dataValidation>
    <dataValidation type="list" allowBlank="1" showInputMessage="1" showErrorMessage="1" sqref="E21:F21 K21:L21">
      <formula1>Design</formula1>
    </dataValidation>
    <dataValidation type="list" allowBlank="1" showInputMessage="1" showErrorMessage="1" sqref="Q21">
      <formula1>Drawers</formula1>
    </dataValidation>
    <dataValidation type="list" allowBlank="1" showInputMessage="1" showErrorMessage="1" sqref="Q17:Q18">
      <formula1>Options</formula1>
    </dataValidation>
    <dataValidation type="list" allowBlank="1" showInputMessage="1" showErrorMessage="1" sqref="P14:Q14">
      <formula1>Backing</formula1>
    </dataValidation>
    <dataValidation type="list" allowBlank="1" showInputMessage="1" showErrorMessage="1" sqref="C14:E14">
      <formula1>Drilling</formula1>
    </dataValidation>
    <dataValidation type="list" allowBlank="1" showInputMessage="1" showErrorMessage="1" sqref="D12:F12">
      <formula1>Series</formula1>
    </dataValidation>
    <dataValidation type="list" allowBlank="1" showInputMessage="1" showErrorMessage="1" sqref="C59:E63">
      <formula1>Moulding</formula1>
    </dataValidation>
    <dataValidation type="list" allowBlank="1" showInputMessage="1" showErrorMessage="1" sqref="M47:M52">
      <formula1>WEGMATCH1</formula1>
    </dataValidation>
  </dataValidations>
  <printOptions horizontalCentered="1" verticalCentered="1"/>
  <pageMargins left="0.23622047244094491" right="0.23622047244094491" top="0.39370078740157483" bottom="0.39370078740157483" header="0.51181102362204722" footer="0.5118110236220472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82"/>
  <sheetViews>
    <sheetView showRuler="0" topLeftCell="A18" zoomScale="75" workbookViewId="0">
      <selection activeCell="L49" sqref="L49"/>
    </sheetView>
  </sheetViews>
  <sheetFormatPr baseColWidth="10" defaultColWidth="8.83203125" defaultRowHeight="13" x14ac:dyDescent="0.15"/>
  <cols>
    <col min="1" max="2" width="6.6640625" style="216" customWidth="1"/>
    <col min="3" max="4" width="9.6640625" style="216" customWidth="1"/>
    <col min="5" max="6" width="9.6640625" style="216" hidden="1" customWidth="1"/>
    <col min="7" max="8" width="9.6640625" style="216" customWidth="1"/>
    <col min="9" max="9" width="8.83203125" style="216"/>
    <col min="10" max="11" width="6.6640625" style="216" customWidth="1"/>
    <col min="12" max="13" width="9.6640625" style="216" customWidth="1"/>
    <col min="14" max="15" width="9.6640625" style="216" hidden="1" customWidth="1"/>
    <col min="16" max="17" width="9.6640625" style="216" customWidth="1"/>
    <col min="18" max="22" width="8.83203125" style="216"/>
    <col min="23" max="24" width="0" style="216" hidden="1" customWidth="1"/>
    <col min="25" max="25" width="8.83203125" style="216"/>
    <col min="26" max="26" width="9.6640625" style="216" customWidth="1"/>
    <col min="27" max="16384" width="8.83203125" style="216"/>
  </cols>
  <sheetData>
    <row r="2" spans="1:26" ht="18" x14ac:dyDescent="0.2">
      <c r="A2" s="235" t="s">
        <v>186</v>
      </c>
    </row>
    <row r="4" spans="1:26" ht="15" customHeight="1" x14ac:dyDescent="0.15">
      <c r="A4" s="217" t="s">
        <v>151</v>
      </c>
      <c r="B4" s="218"/>
      <c r="C4" s="219" t="str">
        <f>'Metric Form'!D8</f>
        <v>Cabinetmart Inc</v>
      </c>
      <c r="D4" s="220"/>
      <c r="E4" s="220"/>
      <c r="F4" s="221"/>
      <c r="G4" s="221"/>
      <c r="H4" s="221"/>
      <c r="I4" s="222"/>
      <c r="J4" s="222"/>
    </row>
    <row r="5" spans="1:26" ht="15" customHeight="1" x14ac:dyDescent="0.15">
      <c r="A5" s="217" t="s">
        <v>152</v>
      </c>
      <c r="C5" s="219">
        <f>'Metric Form'!D10</f>
        <v>0</v>
      </c>
      <c r="D5" s="221"/>
      <c r="E5" s="221"/>
      <c r="F5" s="221" t="s">
        <v>279</v>
      </c>
      <c r="G5" s="221"/>
      <c r="H5" s="221"/>
      <c r="I5" s="222"/>
    </row>
    <row r="6" spans="1:26" ht="15" customHeight="1" x14ac:dyDescent="0.15">
      <c r="A6" s="217" t="s">
        <v>153</v>
      </c>
      <c r="C6" s="223">
        <f>'Metric Form'!D12</f>
        <v>0</v>
      </c>
      <c r="D6" s="224"/>
      <c r="E6" s="224"/>
      <c r="F6" s="224"/>
      <c r="G6" s="224"/>
      <c r="H6" s="224"/>
      <c r="I6" s="222"/>
    </row>
    <row r="7" spans="1:26" ht="15" customHeight="1" x14ac:dyDescent="0.15">
      <c r="A7" s="217" t="s">
        <v>154</v>
      </c>
      <c r="C7" s="223">
        <f>'Metric Form'!N12</f>
        <v>0</v>
      </c>
      <c r="D7" s="224"/>
      <c r="E7" s="224"/>
      <c r="F7" s="224"/>
      <c r="G7" s="224"/>
      <c r="H7" s="224"/>
      <c r="I7" s="222"/>
    </row>
    <row r="8" spans="1:26" x14ac:dyDescent="0.15">
      <c r="A8" s="170"/>
    </row>
    <row r="10" spans="1:26" x14ac:dyDescent="0.15">
      <c r="A10" s="225" t="s">
        <v>175</v>
      </c>
      <c r="J10" s="225" t="s">
        <v>176</v>
      </c>
      <c r="S10" s="225" t="s">
        <v>130</v>
      </c>
    </row>
    <row r="11" spans="1:26" ht="35" customHeight="1" x14ac:dyDescent="0.15">
      <c r="A11" s="226" t="s">
        <v>177</v>
      </c>
      <c r="B11" s="226" t="s">
        <v>178</v>
      </c>
      <c r="C11" s="226" t="s">
        <v>179</v>
      </c>
      <c r="D11" s="226" t="s">
        <v>180</v>
      </c>
      <c r="E11" s="226"/>
      <c r="F11" s="226"/>
      <c r="G11" s="226" t="s">
        <v>181</v>
      </c>
      <c r="H11" s="226" t="s">
        <v>182</v>
      </c>
      <c r="J11" s="226" t="s">
        <v>177</v>
      </c>
      <c r="K11" s="226" t="s">
        <v>178</v>
      </c>
      <c r="L11" s="226" t="s">
        <v>179</v>
      </c>
      <c r="M11" s="226" t="s">
        <v>180</v>
      </c>
      <c r="N11" s="226"/>
      <c r="O11" s="226"/>
      <c r="P11" s="226" t="s">
        <v>181</v>
      </c>
      <c r="Q11" s="226" t="s">
        <v>182</v>
      </c>
      <c r="S11" s="226" t="s">
        <v>177</v>
      </c>
      <c r="T11" s="226" t="s">
        <v>178</v>
      </c>
      <c r="U11" s="226" t="s">
        <v>179</v>
      </c>
      <c r="V11" s="226" t="s">
        <v>180</v>
      </c>
      <c r="W11" s="226"/>
      <c r="X11" s="226"/>
      <c r="Y11" s="226" t="s">
        <v>181</v>
      </c>
      <c r="Z11" s="226" t="s">
        <v>182</v>
      </c>
    </row>
    <row r="12" spans="1:26" x14ac:dyDescent="0.15">
      <c r="A12" s="218">
        <v>1</v>
      </c>
      <c r="B12" s="216">
        <f>'Metric Form'!D24</f>
        <v>0</v>
      </c>
      <c r="C12" s="227">
        <f>'Metric Form'!E24</f>
        <v>0</v>
      </c>
      <c r="D12" s="227">
        <f>'Metric Form'!F24</f>
        <v>0</v>
      </c>
      <c r="E12" s="169">
        <f>'Metric Form'!E24*0.0394</f>
        <v>0</v>
      </c>
      <c r="F12" s="169">
        <f>'Metric Form'!F24*0.0394</f>
        <v>0</v>
      </c>
      <c r="G12" s="228">
        <f>IF(E12*F12/144&lt;1,1,E12*F12/144)</f>
        <v>1</v>
      </c>
      <c r="H12" s="260" t="str">
        <f>IF(B12&gt;0,CEILING(G12*B12,0.25),"0.00")</f>
        <v>0.00</v>
      </c>
      <c r="J12" s="218">
        <v>1</v>
      </c>
      <c r="K12" s="216">
        <f>'Metric Form'!J24</f>
        <v>0</v>
      </c>
      <c r="L12" s="227">
        <f>'Metric Form'!K24</f>
        <v>0</v>
      </c>
      <c r="M12" s="227">
        <f>'Metric Form'!L24</f>
        <v>0</v>
      </c>
      <c r="N12" s="169">
        <f>'Metric Form'!K24*0.0394</f>
        <v>0</v>
      </c>
      <c r="O12" s="169">
        <f>'Metric Form'!L24*0.0394</f>
        <v>0</v>
      </c>
      <c r="P12" s="228">
        <f>IF(N12*O12/144&lt;1,1,N12*O12/144)</f>
        <v>1</v>
      </c>
      <c r="Q12" s="260" t="str">
        <f>IF(K12&gt;0,CEILING(P12*K12,0.25),"0.00")</f>
        <v>0.00</v>
      </c>
      <c r="S12" s="218">
        <v>1</v>
      </c>
      <c r="T12" s="216">
        <f>'Metric Form'!O24</f>
        <v>0</v>
      </c>
      <c r="U12" s="227">
        <f>'Metric Form'!P24</f>
        <v>0</v>
      </c>
      <c r="V12" s="227">
        <f>'Metric Form'!Q24</f>
        <v>0</v>
      </c>
      <c r="W12" s="169">
        <f>'Metric Form'!P24*0.0394</f>
        <v>0</v>
      </c>
      <c r="X12" s="169">
        <f>'Metric Form'!Q24*0.0394</f>
        <v>0</v>
      </c>
      <c r="Y12" s="228">
        <f>IF(W12*X12/144&lt;1,1,W12*X12/144)</f>
        <v>1</v>
      </c>
      <c r="Z12" s="260" t="str">
        <f>IF(T12&gt;0,CEILING(Y12*T12,0.25),"0.00")</f>
        <v>0.00</v>
      </c>
    </row>
    <row r="13" spans="1:26" x14ac:dyDescent="0.15">
      <c r="A13" s="218">
        <v>2</v>
      </c>
      <c r="B13" s="216">
        <f>'Metric Form'!D25</f>
        <v>0</v>
      </c>
      <c r="C13" s="227">
        <f>'Metric Form'!E25</f>
        <v>0</v>
      </c>
      <c r="D13" s="227">
        <f>'Metric Form'!F25</f>
        <v>0</v>
      </c>
      <c r="E13" s="169">
        <f>'Metric Form'!E25*0.0394</f>
        <v>0</v>
      </c>
      <c r="F13" s="169">
        <f>'Metric Form'!F25*0.0394</f>
        <v>0</v>
      </c>
      <c r="G13" s="228">
        <f t="shared" ref="G13:G26" si="0">IF(E13*F13/144&lt;1,1,E13*F13/144)</f>
        <v>1</v>
      </c>
      <c r="H13" s="260" t="str">
        <f t="shared" ref="H13:H26" si="1">IF(B13&gt;0,CEILING(G13*B13,0.25),"0.00")</f>
        <v>0.00</v>
      </c>
      <c r="J13" s="218">
        <v>2</v>
      </c>
      <c r="K13" s="216">
        <f>'Metric Form'!J25</f>
        <v>0</v>
      </c>
      <c r="L13" s="227">
        <f>'Metric Form'!K25</f>
        <v>0</v>
      </c>
      <c r="M13" s="227">
        <f>'Metric Form'!L25</f>
        <v>0</v>
      </c>
      <c r="N13" s="169">
        <f>'Metric Form'!K25*0.0394</f>
        <v>0</v>
      </c>
      <c r="O13" s="169">
        <f>'Metric Form'!L25*0.0394</f>
        <v>0</v>
      </c>
      <c r="P13" s="228">
        <f t="shared" ref="P13:P26" si="2">IF(N13*O13/144&lt;1,1,N13*O13/144)</f>
        <v>1</v>
      </c>
      <c r="Q13" s="260" t="str">
        <f t="shared" ref="Q13:Q26" si="3">IF(K13&gt;0,CEILING(P13*K13,0.25),"0.00")</f>
        <v>0.00</v>
      </c>
      <c r="S13" s="218">
        <v>2</v>
      </c>
      <c r="T13" s="216">
        <f>'Metric Form'!O25</f>
        <v>0</v>
      </c>
      <c r="U13" s="227">
        <f>'Metric Form'!P25</f>
        <v>0</v>
      </c>
      <c r="V13" s="227">
        <f>'Metric Form'!Q25</f>
        <v>0</v>
      </c>
      <c r="W13" s="169">
        <f>'Metric Form'!P25*0.0394</f>
        <v>0</v>
      </c>
      <c r="X13" s="169">
        <f>'Metric Form'!Q25*0.0394</f>
        <v>0</v>
      </c>
      <c r="Y13" s="228">
        <f t="shared" ref="Y13:Y26" si="4">IF(W13*X13/144&lt;1,1,W13*X13/144)</f>
        <v>1</v>
      </c>
      <c r="Z13" s="260" t="str">
        <f t="shared" ref="Z13:Z26" si="5">IF(T13&gt;0,CEILING(Y13*T13,0.25),"0.00")</f>
        <v>0.00</v>
      </c>
    </row>
    <row r="14" spans="1:26" x14ac:dyDescent="0.15">
      <c r="A14" s="218">
        <v>3</v>
      </c>
      <c r="B14" s="216">
        <f>'Metric Form'!D26</f>
        <v>0</v>
      </c>
      <c r="C14" s="227">
        <f>'Metric Form'!E26</f>
        <v>0</v>
      </c>
      <c r="D14" s="227">
        <f>'Metric Form'!F26</f>
        <v>0</v>
      </c>
      <c r="E14" s="169">
        <f>'Metric Form'!E26*0.0394</f>
        <v>0</v>
      </c>
      <c r="F14" s="169">
        <f>'Metric Form'!F26*0.0394</f>
        <v>0</v>
      </c>
      <c r="G14" s="228">
        <f t="shared" si="0"/>
        <v>1</v>
      </c>
      <c r="H14" s="260" t="str">
        <f t="shared" si="1"/>
        <v>0.00</v>
      </c>
      <c r="J14" s="218">
        <v>3</v>
      </c>
      <c r="K14" s="216">
        <f>'Metric Form'!J26</f>
        <v>0</v>
      </c>
      <c r="L14" s="227">
        <f>'Metric Form'!K26</f>
        <v>0</v>
      </c>
      <c r="M14" s="227">
        <f>'Metric Form'!L26</f>
        <v>0</v>
      </c>
      <c r="N14" s="169">
        <f>'Metric Form'!K26*0.0394</f>
        <v>0</v>
      </c>
      <c r="O14" s="169">
        <f>'Metric Form'!L26*0.0394</f>
        <v>0</v>
      </c>
      <c r="P14" s="228">
        <f t="shared" si="2"/>
        <v>1</v>
      </c>
      <c r="Q14" s="260" t="str">
        <f t="shared" si="3"/>
        <v>0.00</v>
      </c>
      <c r="S14" s="218">
        <v>3</v>
      </c>
      <c r="T14" s="216">
        <f>'Metric Form'!O26</f>
        <v>0</v>
      </c>
      <c r="U14" s="227">
        <f>'Metric Form'!P26</f>
        <v>0</v>
      </c>
      <c r="V14" s="227">
        <f>'Metric Form'!Q26</f>
        <v>0</v>
      </c>
      <c r="W14" s="169">
        <f>'Metric Form'!P26*0.0394</f>
        <v>0</v>
      </c>
      <c r="X14" s="169">
        <f>'Metric Form'!Q26*0.0394</f>
        <v>0</v>
      </c>
      <c r="Y14" s="228">
        <f t="shared" si="4"/>
        <v>1</v>
      </c>
      <c r="Z14" s="260" t="str">
        <f t="shared" si="5"/>
        <v>0.00</v>
      </c>
    </row>
    <row r="15" spans="1:26" x14ac:dyDescent="0.15">
      <c r="A15" s="218">
        <v>4</v>
      </c>
      <c r="B15" s="216">
        <f>'Metric Form'!D27</f>
        <v>0</v>
      </c>
      <c r="C15" s="227">
        <f>'Metric Form'!E27</f>
        <v>0</v>
      </c>
      <c r="D15" s="227">
        <f>'Metric Form'!F27</f>
        <v>0</v>
      </c>
      <c r="E15" s="169">
        <f>'Metric Form'!E27*0.0394</f>
        <v>0</v>
      </c>
      <c r="F15" s="169">
        <f>'Metric Form'!F27*0.0394</f>
        <v>0</v>
      </c>
      <c r="G15" s="228">
        <f t="shared" si="0"/>
        <v>1</v>
      </c>
      <c r="H15" s="260" t="str">
        <f t="shared" si="1"/>
        <v>0.00</v>
      </c>
      <c r="J15" s="218">
        <v>4</v>
      </c>
      <c r="K15" s="216">
        <f>'Metric Form'!J27</f>
        <v>0</v>
      </c>
      <c r="L15" s="227">
        <f>'Metric Form'!K27</f>
        <v>0</v>
      </c>
      <c r="M15" s="227">
        <f>'Metric Form'!L27</f>
        <v>0</v>
      </c>
      <c r="N15" s="169">
        <f>'Metric Form'!K27*0.0394</f>
        <v>0</v>
      </c>
      <c r="O15" s="169">
        <f>'Metric Form'!L27*0.0394</f>
        <v>0</v>
      </c>
      <c r="P15" s="228">
        <f t="shared" si="2"/>
        <v>1</v>
      </c>
      <c r="Q15" s="260" t="str">
        <f t="shared" si="3"/>
        <v>0.00</v>
      </c>
      <c r="S15" s="218">
        <v>4</v>
      </c>
      <c r="T15" s="216">
        <f>'Metric Form'!O27</f>
        <v>0</v>
      </c>
      <c r="U15" s="227">
        <f>'Metric Form'!P27</f>
        <v>0</v>
      </c>
      <c r="V15" s="227">
        <f>'Metric Form'!Q27</f>
        <v>0</v>
      </c>
      <c r="W15" s="169">
        <f>'Metric Form'!P27*0.0394</f>
        <v>0</v>
      </c>
      <c r="X15" s="169">
        <f>'Metric Form'!Q27*0.0394</f>
        <v>0</v>
      </c>
      <c r="Y15" s="228">
        <f t="shared" si="4"/>
        <v>1</v>
      </c>
      <c r="Z15" s="260" t="str">
        <f t="shared" si="5"/>
        <v>0.00</v>
      </c>
    </row>
    <row r="16" spans="1:26" x14ac:dyDescent="0.15">
      <c r="A16" s="218">
        <v>5</v>
      </c>
      <c r="B16" s="216">
        <f>'Metric Form'!D28</f>
        <v>0</v>
      </c>
      <c r="C16" s="227">
        <f>'Metric Form'!E28</f>
        <v>0</v>
      </c>
      <c r="D16" s="227">
        <f>'Metric Form'!F28</f>
        <v>0</v>
      </c>
      <c r="E16" s="169">
        <f>'Metric Form'!E28*0.0394</f>
        <v>0</v>
      </c>
      <c r="F16" s="169">
        <f>'Metric Form'!F28*0.0394</f>
        <v>0</v>
      </c>
      <c r="G16" s="228">
        <f t="shared" si="0"/>
        <v>1</v>
      </c>
      <c r="H16" s="260" t="str">
        <f t="shared" si="1"/>
        <v>0.00</v>
      </c>
      <c r="J16" s="218">
        <v>5</v>
      </c>
      <c r="K16" s="216">
        <f>'Metric Form'!J28</f>
        <v>0</v>
      </c>
      <c r="L16" s="227">
        <f>'Metric Form'!K28</f>
        <v>0</v>
      </c>
      <c r="M16" s="227">
        <f>'Metric Form'!L28</f>
        <v>0</v>
      </c>
      <c r="N16" s="169">
        <f>'Metric Form'!K28*0.0394</f>
        <v>0</v>
      </c>
      <c r="O16" s="169">
        <f>'Metric Form'!L28*0.0394</f>
        <v>0</v>
      </c>
      <c r="P16" s="228">
        <f t="shared" si="2"/>
        <v>1</v>
      </c>
      <c r="Q16" s="260" t="str">
        <f t="shared" si="3"/>
        <v>0.00</v>
      </c>
      <c r="S16" s="218">
        <v>5</v>
      </c>
      <c r="T16" s="216">
        <f>'Metric Form'!O28</f>
        <v>0</v>
      </c>
      <c r="U16" s="227">
        <f>'Metric Form'!P28</f>
        <v>0</v>
      </c>
      <c r="V16" s="227">
        <f>'Metric Form'!Q28</f>
        <v>0</v>
      </c>
      <c r="W16" s="169">
        <f>'Metric Form'!P28*0.0394</f>
        <v>0</v>
      </c>
      <c r="X16" s="169">
        <f>'Metric Form'!Q28*0.0394</f>
        <v>0</v>
      </c>
      <c r="Y16" s="228">
        <f t="shared" si="4"/>
        <v>1</v>
      </c>
      <c r="Z16" s="260" t="str">
        <f t="shared" si="5"/>
        <v>0.00</v>
      </c>
    </row>
    <row r="17" spans="1:26" x14ac:dyDescent="0.15">
      <c r="A17" s="218">
        <v>6</v>
      </c>
      <c r="B17" s="216">
        <f>'Metric Form'!D29</f>
        <v>0</v>
      </c>
      <c r="C17" s="227">
        <f>'Metric Form'!E29</f>
        <v>0</v>
      </c>
      <c r="D17" s="227">
        <f>'Metric Form'!F29</f>
        <v>0</v>
      </c>
      <c r="E17" s="169">
        <f>'Metric Form'!E29*0.0394</f>
        <v>0</v>
      </c>
      <c r="F17" s="169">
        <f>'Metric Form'!F29*0.0394</f>
        <v>0</v>
      </c>
      <c r="G17" s="228">
        <f t="shared" si="0"/>
        <v>1</v>
      </c>
      <c r="H17" s="260" t="str">
        <f t="shared" si="1"/>
        <v>0.00</v>
      </c>
      <c r="J17" s="218">
        <v>6</v>
      </c>
      <c r="K17" s="216">
        <f>'Metric Form'!J29</f>
        <v>0</v>
      </c>
      <c r="L17" s="227">
        <f>'Metric Form'!K29</f>
        <v>0</v>
      </c>
      <c r="M17" s="227">
        <f>'Metric Form'!L29</f>
        <v>0</v>
      </c>
      <c r="N17" s="169">
        <f>'Metric Form'!K29*0.0394</f>
        <v>0</v>
      </c>
      <c r="O17" s="169">
        <f>'Metric Form'!L29*0.0394</f>
        <v>0</v>
      </c>
      <c r="P17" s="228">
        <f t="shared" si="2"/>
        <v>1</v>
      </c>
      <c r="Q17" s="260" t="str">
        <f t="shared" si="3"/>
        <v>0.00</v>
      </c>
      <c r="S17" s="218">
        <v>6</v>
      </c>
      <c r="T17" s="216">
        <f>'Metric Form'!O29</f>
        <v>0</v>
      </c>
      <c r="U17" s="227">
        <f>'Metric Form'!P29</f>
        <v>0</v>
      </c>
      <c r="V17" s="227">
        <f>'Metric Form'!Q29</f>
        <v>0</v>
      </c>
      <c r="W17" s="169">
        <f>'Metric Form'!P29*0.0394</f>
        <v>0</v>
      </c>
      <c r="X17" s="169">
        <f>'Metric Form'!Q29*0.0394</f>
        <v>0</v>
      </c>
      <c r="Y17" s="228">
        <f t="shared" si="4"/>
        <v>1</v>
      </c>
      <c r="Z17" s="260" t="str">
        <f t="shared" si="5"/>
        <v>0.00</v>
      </c>
    </row>
    <row r="18" spans="1:26" x14ac:dyDescent="0.15">
      <c r="A18" s="218">
        <v>7</v>
      </c>
      <c r="B18" s="216">
        <f>'Metric Form'!D30</f>
        <v>0</v>
      </c>
      <c r="C18" s="227">
        <f>'Metric Form'!E30</f>
        <v>0</v>
      </c>
      <c r="D18" s="227">
        <f>'Metric Form'!F30</f>
        <v>0</v>
      </c>
      <c r="E18" s="169">
        <f>'Metric Form'!E30*0.0394</f>
        <v>0</v>
      </c>
      <c r="F18" s="169">
        <f>'Metric Form'!F30*0.0394</f>
        <v>0</v>
      </c>
      <c r="G18" s="228">
        <f t="shared" si="0"/>
        <v>1</v>
      </c>
      <c r="H18" s="260" t="str">
        <f t="shared" si="1"/>
        <v>0.00</v>
      </c>
      <c r="J18" s="218">
        <v>7</v>
      </c>
      <c r="K18" s="216">
        <f>'Metric Form'!J30</f>
        <v>0</v>
      </c>
      <c r="L18" s="227">
        <f>'Metric Form'!K30</f>
        <v>0</v>
      </c>
      <c r="M18" s="227">
        <f>'Metric Form'!L30</f>
        <v>0</v>
      </c>
      <c r="N18" s="169">
        <f>'Metric Form'!K30*0.0394</f>
        <v>0</v>
      </c>
      <c r="O18" s="169">
        <f>'Metric Form'!L30*0.0394</f>
        <v>0</v>
      </c>
      <c r="P18" s="228">
        <f t="shared" si="2"/>
        <v>1</v>
      </c>
      <c r="Q18" s="260" t="str">
        <f t="shared" si="3"/>
        <v>0.00</v>
      </c>
      <c r="S18" s="218">
        <v>7</v>
      </c>
      <c r="T18" s="216">
        <f>'Metric Form'!O30</f>
        <v>0</v>
      </c>
      <c r="U18" s="227">
        <f>'Metric Form'!P30</f>
        <v>0</v>
      </c>
      <c r="V18" s="227">
        <f>'Metric Form'!Q30</f>
        <v>0</v>
      </c>
      <c r="W18" s="169">
        <f>'Metric Form'!P30*0.0394</f>
        <v>0</v>
      </c>
      <c r="X18" s="169">
        <f>'Metric Form'!Q30*0.0394</f>
        <v>0</v>
      </c>
      <c r="Y18" s="228">
        <f t="shared" si="4"/>
        <v>1</v>
      </c>
      <c r="Z18" s="260" t="str">
        <f t="shared" si="5"/>
        <v>0.00</v>
      </c>
    </row>
    <row r="19" spans="1:26" x14ac:dyDescent="0.15">
      <c r="A19" s="218">
        <v>8</v>
      </c>
      <c r="B19" s="216">
        <f>'Metric Form'!D31</f>
        <v>0</v>
      </c>
      <c r="C19" s="227">
        <f>'Metric Form'!E31</f>
        <v>0</v>
      </c>
      <c r="D19" s="227">
        <f>'Metric Form'!F31</f>
        <v>0</v>
      </c>
      <c r="E19" s="169">
        <f>'Metric Form'!E31*0.0394</f>
        <v>0</v>
      </c>
      <c r="F19" s="169">
        <f>'Metric Form'!F31*0.0394</f>
        <v>0</v>
      </c>
      <c r="G19" s="228">
        <f t="shared" si="0"/>
        <v>1</v>
      </c>
      <c r="H19" s="260" t="str">
        <f t="shared" si="1"/>
        <v>0.00</v>
      </c>
      <c r="J19" s="218">
        <v>8</v>
      </c>
      <c r="K19" s="216">
        <f>'Metric Form'!J31</f>
        <v>0</v>
      </c>
      <c r="L19" s="227">
        <f>'Metric Form'!K31</f>
        <v>0</v>
      </c>
      <c r="M19" s="227">
        <f>'Metric Form'!L31</f>
        <v>0</v>
      </c>
      <c r="N19" s="169">
        <f>'Metric Form'!K31*0.0394</f>
        <v>0</v>
      </c>
      <c r="O19" s="169">
        <f>'Metric Form'!L31*0.0394</f>
        <v>0</v>
      </c>
      <c r="P19" s="228">
        <f t="shared" si="2"/>
        <v>1</v>
      </c>
      <c r="Q19" s="260" t="str">
        <f t="shared" si="3"/>
        <v>0.00</v>
      </c>
      <c r="S19" s="218">
        <v>8</v>
      </c>
      <c r="T19" s="216">
        <f>'Metric Form'!O31</f>
        <v>0</v>
      </c>
      <c r="U19" s="227">
        <f>'Metric Form'!P31</f>
        <v>0</v>
      </c>
      <c r="V19" s="227">
        <f>'Metric Form'!Q31</f>
        <v>0</v>
      </c>
      <c r="W19" s="169">
        <f>'Metric Form'!P31*0.0394</f>
        <v>0</v>
      </c>
      <c r="X19" s="169">
        <f>'Metric Form'!Q31*0.0394</f>
        <v>0</v>
      </c>
      <c r="Y19" s="228">
        <f t="shared" si="4"/>
        <v>1</v>
      </c>
      <c r="Z19" s="260" t="str">
        <f t="shared" si="5"/>
        <v>0.00</v>
      </c>
    </row>
    <row r="20" spans="1:26" x14ac:dyDescent="0.15">
      <c r="A20" s="218">
        <v>9</v>
      </c>
      <c r="B20" s="216">
        <f>'Metric Form'!D32</f>
        <v>0</v>
      </c>
      <c r="C20" s="227">
        <f>'Metric Form'!E32</f>
        <v>0</v>
      </c>
      <c r="D20" s="227">
        <f>'Metric Form'!F32</f>
        <v>0</v>
      </c>
      <c r="E20" s="169">
        <f>'Metric Form'!E32*0.0394</f>
        <v>0</v>
      </c>
      <c r="F20" s="169">
        <f>'Metric Form'!F32*0.0394</f>
        <v>0</v>
      </c>
      <c r="G20" s="228">
        <f t="shared" si="0"/>
        <v>1</v>
      </c>
      <c r="H20" s="260" t="str">
        <f t="shared" si="1"/>
        <v>0.00</v>
      </c>
      <c r="J20" s="218">
        <v>9</v>
      </c>
      <c r="K20" s="216">
        <f>'Metric Form'!J32</f>
        <v>0</v>
      </c>
      <c r="L20" s="227">
        <f>'Metric Form'!K32</f>
        <v>0</v>
      </c>
      <c r="M20" s="227">
        <f>'Metric Form'!L32</f>
        <v>0</v>
      </c>
      <c r="N20" s="169">
        <f>'Metric Form'!K32*0.0394</f>
        <v>0</v>
      </c>
      <c r="O20" s="169">
        <f>'Metric Form'!L32*0.0394</f>
        <v>0</v>
      </c>
      <c r="P20" s="228">
        <f t="shared" si="2"/>
        <v>1</v>
      </c>
      <c r="Q20" s="260" t="str">
        <f t="shared" si="3"/>
        <v>0.00</v>
      </c>
      <c r="S20" s="218">
        <v>9</v>
      </c>
      <c r="T20" s="216">
        <f>'Metric Form'!O32</f>
        <v>0</v>
      </c>
      <c r="U20" s="227">
        <f>'Metric Form'!P32</f>
        <v>0</v>
      </c>
      <c r="V20" s="227">
        <f>'Metric Form'!Q32</f>
        <v>0</v>
      </c>
      <c r="W20" s="169">
        <f>'Metric Form'!P32*0.0394</f>
        <v>0</v>
      </c>
      <c r="X20" s="169">
        <f>'Metric Form'!Q32*0.0394</f>
        <v>0</v>
      </c>
      <c r="Y20" s="228">
        <f t="shared" si="4"/>
        <v>1</v>
      </c>
      <c r="Z20" s="260" t="str">
        <f t="shared" si="5"/>
        <v>0.00</v>
      </c>
    </row>
    <row r="21" spans="1:26" x14ac:dyDescent="0.15">
      <c r="A21" s="218">
        <v>10</v>
      </c>
      <c r="B21" s="216">
        <f>'Metric Form'!D33</f>
        <v>0</v>
      </c>
      <c r="C21" s="227">
        <f>'Metric Form'!E33</f>
        <v>0</v>
      </c>
      <c r="D21" s="227">
        <f>'Metric Form'!F33</f>
        <v>0</v>
      </c>
      <c r="E21" s="169">
        <f>'Metric Form'!E33*0.0394</f>
        <v>0</v>
      </c>
      <c r="F21" s="169">
        <f>'Metric Form'!F33*0.0394</f>
        <v>0</v>
      </c>
      <c r="G21" s="228">
        <f t="shared" si="0"/>
        <v>1</v>
      </c>
      <c r="H21" s="260" t="str">
        <f t="shared" si="1"/>
        <v>0.00</v>
      </c>
      <c r="J21" s="218">
        <v>10</v>
      </c>
      <c r="K21" s="216">
        <f>'Metric Form'!J33</f>
        <v>0</v>
      </c>
      <c r="L21" s="227">
        <f>'Metric Form'!K33</f>
        <v>0</v>
      </c>
      <c r="M21" s="227">
        <f>'Metric Form'!L33</f>
        <v>0</v>
      </c>
      <c r="N21" s="169">
        <f>'Metric Form'!K33*0.0394</f>
        <v>0</v>
      </c>
      <c r="O21" s="169">
        <f>'Metric Form'!L33*0.0394</f>
        <v>0</v>
      </c>
      <c r="P21" s="228">
        <f t="shared" si="2"/>
        <v>1</v>
      </c>
      <c r="Q21" s="260" t="str">
        <f t="shared" si="3"/>
        <v>0.00</v>
      </c>
      <c r="S21" s="218">
        <v>10</v>
      </c>
      <c r="T21" s="216">
        <f>'Metric Form'!O33</f>
        <v>0</v>
      </c>
      <c r="U21" s="227">
        <f>'Metric Form'!P33</f>
        <v>0</v>
      </c>
      <c r="V21" s="227">
        <f>'Metric Form'!Q33</f>
        <v>0</v>
      </c>
      <c r="W21" s="169">
        <f>'Metric Form'!P33*0.0394</f>
        <v>0</v>
      </c>
      <c r="X21" s="169">
        <f>'Metric Form'!Q33*0.0394</f>
        <v>0</v>
      </c>
      <c r="Y21" s="228">
        <f t="shared" si="4"/>
        <v>1</v>
      </c>
      <c r="Z21" s="260" t="str">
        <f t="shared" si="5"/>
        <v>0.00</v>
      </c>
    </row>
    <row r="22" spans="1:26" x14ac:dyDescent="0.15">
      <c r="A22" s="218">
        <v>11</v>
      </c>
      <c r="B22" s="216">
        <f>'Metric Form'!D34</f>
        <v>0</v>
      </c>
      <c r="C22" s="227">
        <f>'Metric Form'!E34</f>
        <v>0</v>
      </c>
      <c r="D22" s="227">
        <f>'Metric Form'!F34</f>
        <v>0</v>
      </c>
      <c r="E22" s="169">
        <f>'Metric Form'!E34*0.0394</f>
        <v>0</v>
      </c>
      <c r="F22" s="169">
        <f>'Metric Form'!F34*0.0394</f>
        <v>0</v>
      </c>
      <c r="G22" s="228">
        <f t="shared" si="0"/>
        <v>1</v>
      </c>
      <c r="H22" s="260" t="str">
        <f t="shared" si="1"/>
        <v>0.00</v>
      </c>
      <c r="J22" s="218">
        <v>11</v>
      </c>
      <c r="K22" s="216">
        <f>'Metric Form'!J34</f>
        <v>0</v>
      </c>
      <c r="L22" s="227">
        <f>'Metric Form'!K34</f>
        <v>0</v>
      </c>
      <c r="M22" s="227">
        <f>'Metric Form'!L34</f>
        <v>0</v>
      </c>
      <c r="N22" s="169">
        <f>'Metric Form'!K34*0.0394</f>
        <v>0</v>
      </c>
      <c r="O22" s="169">
        <f>'Metric Form'!L34*0.0394</f>
        <v>0</v>
      </c>
      <c r="P22" s="228">
        <f t="shared" si="2"/>
        <v>1</v>
      </c>
      <c r="Q22" s="260" t="str">
        <f t="shared" si="3"/>
        <v>0.00</v>
      </c>
      <c r="S22" s="218">
        <v>11</v>
      </c>
      <c r="T22" s="216">
        <f>'Metric Form'!O34</f>
        <v>0</v>
      </c>
      <c r="U22" s="227">
        <f>'Metric Form'!P34</f>
        <v>0</v>
      </c>
      <c r="V22" s="227">
        <f>'Metric Form'!Q34</f>
        <v>0</v>
      </c>
      <c r="W22" s="169">
        <f>'Metric Form'!P34*0.0394</f>
        <v>0</v>
      </c>
      <c r="X22" s="169">
        <f>'Metric Form'!Q34*0.0394</f>
        <v>0</v>
      </c>
      <c r="Y22" s="228">
        <f t="shared" si="4"/>
        <v>1</v>
      </c>
      <c r="Z22" s="260" t="str">
        <f t="shared" si="5"/>
        <v>0.00</v>
      </c>
    </row>
    <row r="23" spans="1:26" x14ac:dyDescent="0.15">
      <c r="A23" s="218">
        <v>12</v>
      </c>
      <c r="B23" s="216">
        <f>'Metric Form'!D35</f>
        <v>0</v>
      </c>
      <c r="C23" s="227">
        <f>'Metric Form'!E35</f>
        <v>0</v>
      </c>
      <c r="D23" s="227">
        <f>'Metric Form'!F35</f>
        <v>0</v>
      </c>
      <c r="E23" s="169">
        <f>'Metric Form'!E35*0.0394</f>
        <v>0</v>
      </c>
      <c r="F23" s="169">
        <f>'Metric Form'!F35*0.0394</f>
        <v>0</v>
      </c>
      <c r="G23" s="228">
        <f t="shared" si="0"/>
        <v>1</v>
      </c>
      <c r="H23" s="260" t="str">
        <f t="shared" si="1"/>
        <v>0.00</v>
      </c>
      <c r="J23" s="218">
        <v>12</v>
      </c>
      <c r="K23" s="216">
        <f>'Metric Form'!J35</f>
        <v>0</v>
      </c>
      <c r="L23" s="227">
        <f>'Metric Form'!K35</f>
        <v>0</v>
      </c>
      <c r="M23" s="227">
        <f>'Metric Form'!L35</f>
        <v>0</v>
      </c>
      <c r="N23" s="169">
        <f>'Metric Form'!K35*0.0394</f>
        <v>0</v>
      </c>
      <c r="O23" s="169">
        <f>'Metric Form'!L35*0.0394</f>
        <v>0</v>
      </c>
      <c r="P23" s="228">
        <f t="shared" si="2"/>
        <v>1</v>
      </c>
      <c r="Q23" s="260" t="str">
        <f t="shared" si="3"/>
        <v>0.00</v>
      </c>
      <c r="S23" s="218">
        <v>12</v>
      </c>
      <c r="T23" s="216">
        <f>'Metric Form'!O35</f>
        <v>0</v>
      </c>
      <c r="U23" s="227">
        <f>'Metric Form'!P35</f>
        <v>0</v>
      </c>
      <c r="V23" s="227">
        <f>'Metric Form'!Q35</f>
        <v>0</v>
      </c>
      <c r="W23" s="169">
        <f>'Metric Form'!P35*0.0394</f>
        <v>0</v>
      </c>
      <c r="X23" s="169">
        <f>'Metric Form'!Q35*0.0394</f>
        <v>0</v>
      </c>
      <c r="Y23" s="228">
        <f t="shared" si="4"/>
        <v>1</v>
      </c>
      <c r="Z23" s="260" t="str">
        <f t="shared" si="5"/>
        <v>0.00</v>
      </c>
    </row>
    <row r="24" spans="1:26" x14ac:dyDescent="0.15">
      <c r="A24" s="218">
        <v>13</v>
      </c>
      <c r="B24" s="216">
        <f>'Metric Form'!D36</f>
        <v>0</v>
      </c>
      <c r="C24" s="227">
        <f>'Metric Form'!E36</f>
        <v>0</v>
      </c>
      <c r="D24" s="227">
        <f>'Metric Form'!F36</f>
        <v>0</v>
      </c>
      <c r="E24" s="169">
        <f>'Metric Form'!E36*0.0394</f>
        <v>0</v>
      </c>
      <c r="F24" s="169">
        <f>'Metric Form'!F36*0.0394</f>
        <v>0</v>
      </c>
      <c r="G24" s="228">
        <f t="shared" si="0"/>
        <v>1</v>
      </c>
      <c r="H24" s="260" t="str">
        <f t="shared" si="1"/>
        <v>0.00</v>
      </c>
      <c r="J24" s="218">
        <v>13</v>
      </c>
      <c r="K24" s="216">
        <f>'Metric Form'!J36</f>
        <v>0</v>
      </c>
      <c r="L24" s="227">
        <f>'Metric Form'!K36</f>
        <v>0</v>
      </c>
      <c r="M24" s="227">
        <f>'Metric Form'!L36</f>
        <v>0</v>
      </c>
      <c r="N24" s="169">
        <f>'Metric Form'!K36*0.0394</f>
        <v>0</v>
      </c>
      <c r="O24" s="169">
        <f>'Metric Form'!L36*0.0394</f>
        <v>0</v>
      </c>
      <c r="P24" s="228">
        <f t="shared" si="2"/>
        <v>1</v>
      </c>
      <c r="Q24" s="260" t="str">
        <f t="shared" si="3"/>
        <v>0.00</v>
      </c>
      <c r="S24" s="218">
        <v>13</v>
      </c>
      <c r="T24" s="216">
        <f>'Metric Form'!O36</f>
        <v>0</v>
      </c>
      <c r="U24" s="227">
        <f>'Metric Form'!P36</f>
        <v>0</v>
      </c>
      <c r="V24" s="227">
        <f>'Metric Form'!Q36</f>
        <v>0</v>
      </c>
      <c r="W24" s="169">
        <f>'Metric Form'!P36*0.0394</f>
        <v>0</v>
      </c>
      <c r="X24" s="169">
        <f>'Metric Form'!Q36*0.0394</f>
        <v>0</v>
      </c>
      <c r="Y24" s="228">
        <f t="shared" si="4"/>
        <v>1</v>
      </c>
      <c r="Z24" s="260" t="str">
        <f t="shared" si="5"/>
        <v>0.00</v>
      </c>
    </row>
    <row r="25" spans="1:26" x14ac:dyDescent="0.15">
      <c r="A25" s="218">
        <v>14</v>
      </c>
      <c r="B25" s="216">
        <f>'Metric Form'!D37</f>
        <v>0</v>
      </c>
      <c r="C25" s="227">
        <f>'Metric Form'!E37</f>
        <v>0</v>
      </c>
      <c r="D25" s="227">
        <f>'Metric Form'!F37</f>
        <v>0</v>
      </c>
      <c r="E25" s="169">
        <f>'Metric Form'!E37*0.0394</f>
        <v>0</v>
      </c>
      <c r="F25" s="169">
        <f>'Metric Form'!F37*0.0394</f>
        <v>0</v>
      </c>
      <c r="G25" s="228">
        <f t="shared" si="0"/>
        <v>1</v>
      </c>
      <c r="H25" s="260" t="str">
        <f t="shared" si="1"/>
        <v>0.00</v>
      </c>
      <c r="J25" s="218">
        <v>14</v>
      </c>
      <c r="K25" s="216">
        <f>'Metric Form'!J37</f>
        <v>0</v>
      </c>
      <c r="L25" s="227">
        <f>'Metric Form'!K37</f>
        <v>0</v>
      </c>
      <c r="M25" s="227">
        <f>'Metric Form'!L37</f>
        <v>0</v>
      </c>
      <c r="N25" s="169">
        <f>'Metric Form'!K37*0.0394</f>
        <v>0</v>
      </c>
      <c r="O25" s="169">
        <f>'Metric Form'!L37*0.0394</f>
        <v>0</v>
      </c>
      <c r="P25" s="228">
        <f t="shared" si="2"/>
        <v>1</v>
      </c>
      <c r="Q25" s="260" t="str">
        <f t="shared" si="3"/>
        <v>0.00</v>
      </c>
      <c r="S25" s="218">
        <v>14</v>
      </c>
      <c r="T25" s="216">
        <f>'Metric Form'!O37</f>
        <v>0</v>
      </c>
      <c r="U25" s="227">
        <f>'Metric Form'!P37</f>
        <v>0</v>
      </c>
      <c r="V25" s="227">
        <f>'Metric Form'!Q37</f>
        <v>0</v>
      </c>
      <c r="W25" s="169">
        <f>'Metric Form'!P37*0.0394</f>
        <v>0</v>
      </c>
      <c r="X25" s="169">
        <f>'Metric Form'!Q37*0.0394</f>
        <v>0</v>
      </c>
      <c r="Y25" s="228">
        <f t="shared" si="4"/>
        <v>1</v>
      </c>
      <c r="Z25" s="260" t="str">
        <f t="shared" si="5"/>
        <v>0.00</v>
      </c>
    </row>
    <row r="26" spans="1:26" x14ac:dyDescent="0.15">
      <c r="A26" s="218">
        <v>15</v>
      </c>
      <c r="B26" s="216">
        <f>'Metric Form'!D38</f>
        <v>0</v>
      </c>
      <c r="C26" s="227">
        <f>'Metric Form'!E38</f>
        <v>0</v>
      </c>
      <c r="D26" s="227">
        <f>'Metric Form'!F38</f>
        <v>0</v>
      </c>
      <c r="E26" s="169">
        <f>'Metric Form'!E38*0.0394</f>
        <v>0</v>
      </c>
      <c r="F26" s="169">
        <f>'Metric Form'!F38*0.0394</f>
        <v>0</v>
      </c>
      <c r="G26" s="228">
        <f t="shared" si="0"/>
        <v>1</v>
      </c>
      <c r="H26" s="260" t="str">
        <f t="shared" si="1"/>
        <v>0.00</v>
      </c>
      <c r="J26" s="218">
        <v>15</v>
      </c>
      <c r="K26" s="216">
        <f>'Metric Form'!J38</f>
        <v>0</v>
      </c>
      <c r="L26" s="227">
        <f>'Metric Form'!K38</f>
        <v>0</v>
      </c>
      <c r="M26" s="227">
        <f>'Metric Form'!L38</f>
        <v>0</v>
      </c>
      <c r="N26" s="169">
        <f>'Metric Form'!K38*0.0394</f>
        <v>0</v>
      </c>
      <c r="O26" s="169">
        <f>'Metric Form'!L38*0.0394</f>
        <v>0</v>
      </c>
      <c r="P26" s="228">
        <f t="shared" si="2"/>
        <v>1</v>
      </c>
      <c r="Q26" s="260" t="str">
        <f t="shared" si="3"/>
        <v>0.00</v>
      </c>
      <c r="S26" s="218">
        <v>15</v>
      </c>
      <c r="T26" s="216">
        <f>'Metric Form'!O38</f>
        <v>0</v>
      </c>
      <c r="U26" s="227">
        <f>'Metric Form'!P38</f>
        <v>0</v>
      </c>
      <c r="V26" s="227">
        <f>'Metric Form'!Q38</f>
        <v>0</v>
      </c>
      <c r="W26" s="169">
        <f>'Metric Form'!P38*0.0394</f>
        <v>0</v>
      </c>
      <c r="X26" s="169">
        <f>'Metric Form'!Q38*0.0394</f>
        <v>0</v>
      </c>
      <c r="Y26" s="228">
        <f t="shared" si="4"/>
        <v>1</v>
      </c>
      <c r="Z26" s="260" t="str">
        <f t="shared" si="5"/>
        <v>0.00</v>
      </c>
    </row>
    <row r="27" spans="1:26" x14ac:dyDescent="0.15">
      <c r="H27" s="229">
        <f>SUM(H12:H26)</f>
        <v>0</v>
      </c>
      <c r="Q27" s="229">
        <f>SUM(Q12:Q26)</f>
        <v>0</v>
      </c>
      <c r="Y27" s="230" t="s">
        <v>185</v>
      </c>
      <c r="Z27" s="229">
        <f>SUM(Z12:Z26)</f>
        <v>0</v>
      </c>
    </row>
    <row r="29" spans="1:26" x14ac:dyDescent="0.15">
      <c r="A29" s="225" t="s">
        <v>183</v>
      </c>
      <c r="J29" s="225" t="s">
        <v>134</v>
      </c>
    </row>
    <row r="30" spans="1:26" ht="35" customHeight="1" thickBot="1" x14ac:dyDescent="0.25">
      <c r="A30" s="226" t="s">
        <v>177</v>
      </c>
      <c r="B30" s="226" t="s">
        <v>178</v>
      </c>
      <c r="C30" s="226" t="s">
        <v>179</v>
      </c>
      <c r="D30" s="226" t="s">
        <v>180</v>
      </c>
      <c r="E30" s="226"/>
      <c r="F30" s="226"/>
      <c r="G30" s="226" t="s">
        <v>181</v>
      </c>
      <c r="H30" s="226" t="s">
        <v>182</v>
      </c>
      <c r="J30" s="226" t="s">
        <v>177</v>
      </c>
      <c r="K30" s="226" t="s">
        <v>178</v>
      </c>
      <c r="L30" s="226" t="s">
        <v>179</v>
      </c>
      <c r="M30" s="226" t="s">
        <v>180</v>
      </c>
      <c r="N30" s="226"/>
      <c r="O30" s="226"/>
      <c r="P30" s="226" t="s">
        <v>181</v>
      </c>
      <c r="Q30" s="226" t="s">
        <v>182</v>
      </c>
      <c r="S30" s="407" t="s">
        <v>184</v>
      </c>
      <c r="T30" s="407"/>
      <c r="U30" s="407"/>
      <c r="V30" s="407"/>
      <c r="Z30" s="231">
        <f>H27+Q27+Z27+H35+Q35</f>
        <v>0</v>
      </c>
    </row>
    <row r="31" spans="1:26" ht="14" thickTop="1" x14ac:dyDescent="0.15">
      <c r="A31" s="218">
        <v>1</v>
      </c>
      <c r="B31" s="216">
        <f>'Metric Form'!D44</f>
        <v>0</v>
      </c>
      <c r="C31" s="227">
        <f>'Metric Form'!E44</f>
        <v>0</v>
      </c>
      <c r="D31" s="227">
        <f>'Metric Form'!F44</f>
        <v>0</v>
      </c>
      <c r="E31" s="169">
        <f>'Metric Form'!E44*0.0394</f>
        <v>0</v>
      </c>
      <c r="F31" s="169">
        <f>'Metric Form'!F44*0.0394</f>
        <v>0</v>
      </c>
      <c r="G31" s="228">
        <f>IF(E31*F31/144&lt;1,1,E31*F31/144)</f>
        <v>1</v>
      </c>
      <c r="H31" s="260" t="str">
        <f>IF(B31&gt;0,CEILING(G31*B31,0.25),"0.00")</f>
        <v>0.00</v>
      </c>
      <c r="J31" s="218">
        <v>1</v>
      </c>
      <c r="K31" s="216">
        <f>'Metric Form'!D49</f>
        <v>0</v>
      </c>
      <c r="L31" s="227">
        <f>'Metric Form'!E49</f>
        <v>0</v>
      </c>
      <c r="M31" s="227">
        <f>'Metric Form'!F49</f>
        <v>0</v>
      </c>
      <c r="N31" s="169">
        <f>'Metric Form'!E49*0.0394</f>
        <v>0</v>
      </c>
      <c r="O31" s="169">
        <f>'Metric Form'!F49*0.0394</f>
        <v>0</v>
      </c>
      <c r="P31" s="228">
        <f>IF(N31*O31/144&lt;1,1,N31*O31/144)</f>
        <v>1</v>
      </c>
      <c r="Q31" s="260" t="str">
        <f>IF(K31&gt;0,CEILING(P31*K31,0.25),"0.00")</f>
        <v>0.00</v>
      </c>
    </row>
    <row r="32" spans="1:26" x14ac:dyDescent="0.15">
      <c r="A32" s="218">
        <v>2</v>
      </c>
      <c r="B32" s="216">
        <f>'Metric Form'!D45</f>
        <v>0</v>
      </c>
      <c r="C32" s="227">
        <f>'Metric Form'!E45</f>
        <v>0</v>
      </c>
      <c r="D32" s="227">
        <f>'Metric Form'!F45</f>
        <v>0</v>
      </c>
      <c r="E32" s="169">
        <f>'Metric Form'!E45*0.0394</f>
        <v>0</v>
      </c>
      <c r="F32" s="169">
        <f>'Metric Form'!F45*0.0394</f>
        <v>0</v>
      </c>
      <c r="G32" s="228">
        <f>IF(E32*F32/144&lt;1,1,E32*F32/144)</f>
        <v>1</v>
      </c>
      <c r="H32" s="260" t="str">
        <f>IF(B32&gt;0,CEILING(G32*B32,0.25),"0.00")</f>
        <v>0.00</v>
      </c>
      <c r="J32" s="218">
        <v>2</v>
      </c>
      <c r="K32" s="216">
        <f>'Metric Form'!D50</f>
        <v>0</v>
      </c>
      <c r="L32" s="227">
        <f>'Metric Form'!E50</f>
        <v>0</v>
      </c>
      <c r="M32" s="227">
        <f>'Metric Form'!F50</f>
        <v>0</v>
      </c>
      <c r="N32" s="169">
        <f>'Metric Form'!E50*0.0394</f>
        <v>0</v>
      </c>
      <c r="O32" s="169">
        <f>'Metric Form'!F50*0.0394</f>
        <v>0</v>
      </c>
      <c r="P32" s="228">
        <f>IF(N32*O32/144&lt;1,1,N32*O32/144)</f>
        <v>1</v>
      </c>
      <c r="Q32" s="260" t="str">
        <f>IF(K32&gt;0,CEILING(P32*K32,0.25),"0.00")</f>
        <v>0.00</v>
      </c>
    </row>
    <row r="33" spans="1:17" x14ac:dyDescent="0.15">
      <c r="A33" s="218">
        <v>3</v>
      </c>
      <c r="B33" s="216">
        <f>'Metric Form'!D46</f>
        <v>0</v>
      </c>
      <c r="C33" s="227">
        <f>'Metric Form'!E46</f>
        <v>0</v>
      </c>
      <c r="D33" s="227">
        <f>'Metric Form'!F46</f>
        <v>0</v>
      </c>
      <c r="E33" s="169">
        <f>'Metric Form'!E46*0.0394</f>
        <v>0</v>
      </c>
      <c r="F33" s="169">
        <f>'Metric Form'!F46*0.0394</f>
        <v>0</v>
      </c>
      <c r="G33" s="228">
        <f>IF(E33*F33/144&lt;1,1,E33*F33/144)</f>
        <v>1</v>
      </c>
      <c r="H33" s="260" t="str">
        <f>IF(B33&gt;0,CEILING(G33*B33,0.25),"0.00")</f>
        <v>0.00</v>
      </c>
      <c r="J33" s="218">
        <v>3</v>
      </c>
      <c r="K33" s="216">
        <f>'Metric Form'!D51</f>
        <v>0</v>
      </c>
      <c r="L33" s="227">
        <f>'Metric Form'!E51</f>
        <v>0</v>
      </c>
      <c r="M33" s="227">
        <f>'Metric Form'!F51</f>
        <v>0</v>
      </c>
      <c r="N33" s="169">
        <f>'Metric Form'!E51*0.0394</f>
        <v>0</v>
      </c>
      <c r="O33" s="169">
        <f>'Metric Form'!F51*0.0394</f>
        <v>0</v>
      </c>
      <c r="P33" s="228">
        <f>IF(N33*O33/144&lt;1,1,N33*O33/144)</f>
        <v>1</v>
      </c>
      <c r="Q33" s="260" t="str">
        <f>IF(K33&gt;0,CEILING(P33*K33,0.25),"0.00")</f>
        <v>0.00</v>
      </c>
    </row>
    <row r="34" spans="1:17" x14ac:dyDescent="0.15">
      <c r="A34" s="218">
        <v>4</v>
      </c>
      <c r="B34" s="216">
        <f>'Metric Form'!D47</f>
        <v>0</v>
      </c>
      <c r="C34" s="227">
        <f>'Metric Form'!E47</f>
        <v>0</v>
      </c>
      <c r="D34" s="227">
        <f>'Metric Form'!F47</f>
        <v>0</v>
      </c>
      <c r="E34" s="169">
        <f>'Metric Form'!E47*0.0394</f>
        <v>0</v>
      </c>
      <c r="F34" s="169">
        <f>'Metric Form'!F47*0.0394</f>
        <v>0</v>
      </c>
      <c r="G34" s="228">
        <f>IF(E34*F34/144&lt;1,1,E34*F34/144)</f>
        <v>1</v>
      </c>
      <c r="H34" s="260" t="str">
        <f>IF(B34&gt;0,CEILING(G34*B34,0.25),"0.00")</f>
        <v>0.00</v>
      </c>
      <c r="J34" s="218">
        <v>4</v>
      </c>
      <c r="K34" s="216">
        <f>'Metric Form'!D52</f>
        <v>0</v>
      </c>
      <c r="L34" s="227">
        <f>'Metric Form'!E52</f>
        <v>0</v>
      </c>
      <c r="M34" s="227">
        <f>'Metric Form'!F52</f>
        <v>0</v>
      </c>
      <c r="N34" s="169">
        <f>'Metric Form'!E52*0.0394</f>
        <v>0</v>
      </c>
      <c r="O34" s="169">
        <f>'Metric Form'!F52*0.0394</f>
        <v>0</v>
      </c>
      <c r="P34" s="228">
        <f>IF(N34*O34/144&lt;1,1,N34*O34/144)</f>
        <v>1</v>
      </c>
      <c r="Q34" s="260" t="str">
        <f>IF(K34&gt;0,CEILING(P34*K34,0.25),"0.00")</f>
        <v>0.00</v>
      </c>
    </row>
    <row r="35" spans="1:17" x14ac:dyDescent="0.15">
      <c r="H35" s="229">
        <f>SUM(H31:H34)</f>
        <v>0</v>
      </c>
      <c r="Q35" s="229">
        <f>SUM(Q31:Q34)</f>
        <v>0</v>
      </c>
    </row>
    <row r="36" spans="1:17" x14ac:dyDescent="0.15">
      <c r="H36" s="229"/>
      <c r="Q36" s="229"/>
    </row>
    <row r="37" spans="1:17" x14ac:dyDescent="0.15">
      <c r="A37" s="225" t="s">
        <v>135</v>
      </c>
      <c r="J37" s="225" t="s">
        <v>28</v>
      </c>
    </row>
    <row r="38" spans="1:17" ht="35" customHeight="1" x14ac:dyDescent="0.15">
      <c r="A38" s="226" t="s">
        <v>177</v>
      </c>
      <c r="B38" s="226" t="s">
        <v>178</v>
      </c>
      <c r="C38" s="226" t="s">
        <v>179</v>
      </c>
      <c r="D38" s="226" t="s">
        <v>180</v>
      </c>
      <c r="E38" s="226"/>
      <c r="F38" s="226"/>
      <c r="G38" s="226" t="s">
        <v>181</v>
      </c>
      <c r="H38" s="226" t="s">
        <v>182</v>
      </c>
      <c r="J38" s="226" t="s">
        <v>177</v>
      </c>
      <c r="K38" s="226" t="s">
        <v>178</v>
      </c>
      <c r="L38" s="226" t="s">
        <v>179</v>
      </c>
      <c r="M38" s="226" t="s">
        <v>180</v>
      </c>
      <c r="N38" s="226"/>
      <c r="O38" s="226"/>
      <c r="P38" s="226" t="s">
        <v>181</v>
      </c>
      <c r="Q38" s="226" t="s">
        <v>182</v>
      </c>
    </row>
    <row r="39" spans="1:17" x14ac:dyDescent="0.15">
      <c r="A39" s="218">
        <v>1</v>
      </c>
      <c r="B39" s="216">
        <f>'Metric Form'!I42</f>
        <v>0</v>
      </c>
      <c r="C39" s="227">
        <f>'Metric Form'!J42</f>
        <v>0</v>
      </c>
      <c r="D39" s="227">
        <f>'Metric Form'!K42</f>
        <v>0</v>
      </c>
      <c r="E39" s="169">
        <f>'Metric Form'!J42*0.0394</f>
        <v>0</v>
      </c>
      <c r="F39" s="169">
        <f>'Metric Form'!K42*0.0394</f>
        <v>0</v>
      </c>
      <c r="G39" s="228">
        <f>IF(E39*F39/144&lt;1.5,1.5,E39*F39/144)</f>
        <v>1.5</v>
      </c>
      <c r="H39" s="260" t="str">
        <f>IF(B39&gt;0,CEILING(G39*B39,0.25),"0.00")</f>
        <v>0.00</v>
      </c>
      <c r="J39" s="218">
        <v>1</v>
      </c>
      <c r="K39" s="216">
        <f>'Metric Form'!I47</f>
        <v>0</v>
      </c>
      <c r="L39" s="227">
        <f>'Metric Form'!J47</f>
        <v>0</v>
      </c>
      <c r="M39" s="227">
        <f>'Metric Form'!K47</f>
        <v>0</v>
      </c>
      <c r="N39" s="169">
        <f>'Metric Form'!J47*0.0394</f>
        <v>0</v>
      </c>
      <c r="O39" s="169">
        <f>'Metric Form'!K47*0.0394</f>
        <v>0</v>
      </c>
      <c r="P39" s="228">
        <f>IF(N39*O39/144&lt;1.5,1.5,N39*O39/144)</f>
        <v>1.5</v>
      </c>
      <c r="Q39" s="260" t="str">
        <f t="shared" ref="Q39:Q44" si="6">IF(K39&gt;0,CEILING(P39*K39,0.25),"0.00")</f>
        <v>0.00</v>
      </c>
    </row>
    <row r="40" spans="1:17" x14ac:dyDescent="0.15">
      <c r="A40" s="264">
        <v>2</v>
      </c>
      <c r="B40" s="216">
        <f>'Metric Form'!I43</f>
        <v>0</v>
      </c>
      <c r="C40" s="227">
        <f>'Metric Form'!J43</f>
        <v>0</v>
      </c>
      <c r="D40" s="227">
        <f>'Metric Form'!K43</f>
        <v>0</v>
      </c>
      <c r="E40" s="169">
        <f>'Metric Form'!J43*0.0394</f>
        <v>0</v>
      </c>
      <c r="F40" s="169">
        <f>'Metric Form'!K43*0.0394</f>
        <v>0</v>
      </c>
      <c r="G40" s="228">
        <f>IF(E40*F40/144&lt;1.5,1.5,E40*F40/144)</f>
        <v>1.5</v>
      </c>
      <c r="H40" s="260" t="str">
        <f>IF(B40&gt;0,CEILING(G40*B40,0.25),"0.00")</f>
        <v>0.00</v>
      </c>
      <c r="J40" s="218">
        <v>2</v>
      </c>
      <c r="K40" s="216">
        <f>'Metric Form'!I48</f>
        <v>0</v>
      </c>
      <c r="L40" s="227">
        <f>'Metric Form'!J48</f>
        <v>0</v>
      </c>
      <c r="M40" s="227">
        <f>'Metric Form'!K48</f>
        <v>0</v>
      </c>
      <c r="N40" s="169">
        <f>'Metric Form'!J48*0.0394</f>
        <v>0</v>
      </c>
      <c r="O40" s="169">
        <f>'Metric Form'!K48*0.0394</f>
        <v>0</v>
      </c>
      <c r="P40" s="228">
        <f t="shared" ref="P40:P44" si="7">IF(N40*O40/144&lt;1.5,1.5,N40*O40/144)</f>
        <v>1.5</v>
      </c>
      <c r="Q40" s="260" t="str">
        <f t="shared" si="6"/>
        <v>0.00</v>
      </c>
    </row>
    <row r="41" spans="1:17" x14ac:dyDescent="0.15">
      <c r="A41"/>
      <c r="B41"/>
      <c r="C41"/>
      <c r="D41"/>
      <c r="E41"/>
      <c r="F41"/>
      <c r="G41"/>
      <c r="H41" s="8">
        <f>SUM(H39:H40)</f>
        <v>0</v>
      </c>
      <c r="J41" s="218">
        <v>3</v>
      </c>
      <c r="K41" s="216">
        <f>'Metric Form'!I49</f>
        <v>0</v>
      </c>
      <c r="L41" s="227">
        <f>'Metric Form'!J49</f>
        <v>0</v>
      </c>
      <c r="M41" s="227">
        <f>'Metric Form'!K49</f>
        <v>0</v>
      </c>
      <c r="N41" s="169">
        <f>'Metric Form'!J49*0.0394</f>
        <v>0</v>
      </c>
      <c r="O41" s="169">
        <f>'Metric Form'!K49*0.0394</f>
        <v>0</v>
      </c>
      <c r="P41" s="228">
        <f t="shared" si="7"/>
        <v>1.5</v>
      </c>
      <c r="Q41" s="260" t="str">
        <f t="shared" si="6"/>
        <v>0.00</v>
      </c>
    </row>
    <row r="42" spans="1:17" x14ac:dyDescent="0.15">
      <c r="A42"/>
      <c r="B42"/>
      <c r="C42"/>
      <c r="D42"/>
      <c r="E42"/>
      <c r="F42"/>
      <c r="G42"/>
      <c r="H42"/>
      <c r="J42" s="218">
        <v>4</v>
      </c>
      <c r="K42" s="216">
        <f>'Metric Form'!I50</f>
        <v>0</v>
      </c>
      <c r="L42" s="227">
        <f>'Metric Form'!J50</f>
        <v>0</v>
      </c>
      <c r="M42" s="227">
        <f>'Metric Form'!K50</f>
        <v>0</v>
      </c>
      <c r="N42" s="169">
        <f>'Metric Form'!J50*0.0394</f>
        <v>0</v>
      </c>
      <c r="O42" s="169">
        <f>'Metric Form'!K50*0.0394</f>
        <v>0</v>
      </c>
      <c r="P42" s="228">
        <f t="shared" si="7"/>
        <v>1.5</v>
      </c>
      <c r="Q42" s="260" t="str">
        <f t="shared" si="6"/>
        <v>0.00</v>
      </c>
    </row>
    <row r="43" spans="1:17" x14ac:dyDescent="0.15">
      <c r="A43"/>
      <c r="B43"/>
      <c r="C43"/>
      <c r="D43"/>
      <c r="E43"/>
      <c r="F43"/>
      <c r="G43"/>
      <c r="H43"/>
      <c r="J43" s="218">
        <v>5</v>
      </c>
      <c r="K43" s="216">
        <f>'Metric Form'!I51</f>
        <v>0</v>
      </c>
      <c r="L43" s="227">
        <f>'Metric Form'!J51</f>
        <v>0</v>
      </c>
      <c r="M43" s="227">
        <f>'Metric Form'!K51</f>
        <v>0</v>
      </c>
      <c r="N43" s="169">
        <f>'Metric Form'!J51*0.0394</f>
        <v>0</v>
      </c>
      <c r="O43" s="169">
        <f>'Metric Form'!K51*0.0394</f>
        <v>0</v>
      </c>
      <c r="P43" s="228">
        <f t="shared" si="7"/>
        <v>1.5</v>
      </c>
      <c r="Q43" s="260" t="str">
        <f t="shared" si="6"/>
        <v>0.00</v>
      </c>
    </row>
    <row r="44" spans="1:17" x14ac:dyDescent="0.15">
      <c r="A44"/>
      <c r="B44"/>
      <c r="C44"/>
      <c r="D44"/>
      <c r="E44"/>
      <c r="F44"/>
      <c r="G44"/>
      <c r="H44"/>
      <c r="J44" s="218">
        <v>6</v>
      </c>
      <c r="K44" s="216">
        <f>'Metric Form'!I52</f>
        <v>0</v>
      </c>
      <c r="L44" s="227">
        <f>'Metric Form'!J52</f>
        <v>0</v>
      </c>
      <c r="M44" s="227">
        <f>'Metric Form'!K52</f>
        <v>0</v>
      </c>
      <c r="N44" s="169">
        <f>'Metric Form'!J52*0.0394</f>
        <v>0</v>
      </c>
      <c r="O44" s="169">
        <f>'Metric Form'!K52*0.0394</f>
        <v>0</v>
      </c>
      <c r="P44" s="228">
        <f t="shared" si="7"/>
        <v>1.5</v>
      </c>
      <c r="Q44" s="260" t="str">
        <f t="shared" si="6"/>
        <v>0.00</v>
      </c>
    </row>
    <row r="45" spans="1:17" x14ac:dyDescent="0.15">
      <c r="A45"/>
      <c r="B45"/>
      <c r="C45"/>
      <c r="D45"/>
      <c r="E45"/>
      <c r="F45"/>
      <c r="G45"/>
      <c r="H45"/>
      <c r="Q45" s="229">
        <f>SUM(Q39:Q44)</f>
        <v>0</v>
      </c>
    </row>
    <row r="49" spans="1:17" x14ac:dyDescent="0.15">
      <c r="J49" s="218"/>
      <c r="L49" s="233"/>
      <c r="M49" s="233"/>
      <c r="N49" s="233"/>
      <c r="O49" s="233"/>
      <c r="P49" s="232"/>
      <c r="Q49" s="229"/>
    </row>
    <row r="50" spans="1:17" x14ac:dyDescent="0.15">
      <c r="J50" s="218"/>
      <c r="L50" s="233"/>
      <c r="M50" s="233"/>
      <c r="N50" s="233"/>
      <c r="O50" s="233"/>
      <c r="P50" s="232"/>
      <c r="Q50" s="229"/>
    </row>
    <row r="51" spans="1:17" x14ac:dyDescent="0.15">
      <c r="J51" s="218"/>
      <c r="L51" s="233"/>
      <c r="M51" s="233"/>
      <c r="N51" s="233"/>
      <c r="O51" s="233"/>
      <c r="P51" s="232"/>
      <c r="Q51" s="229"/>
    </row>
    <row r="52" spans="1:17" x14ac:dyDescent="0.15">
      <c r="A52" s="218"/>
      <c r="C52" s="227"/>
      <c r="D52" s="227"/>
      <c r="E52" s="169"/>
      <c r="F52" s="169"/>
      <c r="G52" s="232"/>
      <c r="H52" s="229"/>
      <c r="J52" s="218"/>
      <c r="L52" s="233"/>
      <c r="M52" s="233"/>
      <c r="N52" s="233"/>
      <c r="O52" s="233"/>
      <c r="P52" s="232"/>
      <c r="Q52" s="229"/>
    </row>
    <row r="53" spans="1:17" x14ac:dyDescent="0.15">
      <c r="A53" s="218"/>
      <c r="C53" s="227"/>
      <c r="D53" s="227"/>
      <c r="E53" s="169"/>
      <c r="F53" s="169"/>
      <c r="G53" s="232"/>
      <c r="H53" s="229"/>
      <c r="J53" s="218"/>
      <c r="L53" s="233"/>
      <c r="M53" s="233"/>
      <c r="N53" s="233"/>
      <c r="O53" s="233"/>
      <c r="P53" s="232"/>
      <c r="Q53" s="229"/>
    </row>
    <row r="54" spans="1:17" x14ac:dyDescent="0.15">
      <c r="A54" s="218"/>
      <c r="C54" s="227"/>
      <c r="D54" s="227"/>
      <c r="E54" s="169"/>
      <c r="F54" s="169"/>
      <c r="G54" s="232"/>
      <c r="H54" s="229"/>
      <c r="J54" s="218"/>
      <c r="L54" s="233"/>
      <c r="M54" s="233"/>
      <c r="N54" s="233"/>
      <c r="O54" s="233"/>
      <c r="P54" s="232"/>
      <c r="Q54" s="229"/>
    </row>
    <row r="55" spans="1:17" x14ac:dyDescent="0.15">
      <c r="A55" s="218"/>
      <c r="C55" s="227"/>
      <c r="D55" s="227"/>
      <c r="E55" s="169"/>
      <c r="F55" s="169"/>
      <c r="G55" s="232"/>
      <c r="H55" s="229"/>
      <c r="J55" s="218"/>
      <c r="L55" s="233"/>
      <c r="M55" s="233"/>
      <c r="N55" s="233"/>
      <c r="O55" s="233"/>
      <c r="P55" s="232"/>
      <c r="Q55" s="229"/>
    </row>
    <row r="56" spans="1:17" x14ac:dyDescent="0.15">
      <c r="A56" s="218"/>
      <c r="C56" s="227"/>
      <c r="D56" s="227"/>
      <c r="E56" s="169"/>
      <c r="F56" s="169"/>
      <c r="G56" s="232"/>
      <c r="H56" s="229"/>
      <c r="J56" s="218"/>
      <c r="L56" s="233"/>
      <c r="M56" s="233"/>
      <c r="N56" s="233"/>
      <c r="O56" s="233"/>
      <c r="P56" s="232"/>
      <c r="Q56" s="229"/>
    </row>
    <row r="57" spans="1:17" x14ac:dyDescent="0.15">
      <c r="A57" s="218"/>
      <c r="C57" s="227"/>
      <c r="D57" s="227"/>
      <c r="E57" s="169"/>
      <c r="F57" s="169"/>
      <c r="G57" s="232"/>
      <c r="H57" s="229"/>
      <c r="J57" s="218"/>
      <c r="L57" s="233"/>
      <c r="M57" s="233"/>
      <c r="N57" s="233"/>
      <c r="O57" s="233"/>
      <c r="P57" s="232"/>
      <c r="Q57" s="229"/>
    </row>
    <row r="58" spans="1:17" x14ac:dyDescent="0.15">
      <c r="A58" s="218"/>
      <c r="C58" s="227"/>
      <c r="D58" s="227"/>
      <c r="E58" s="169"/>
      <c r="F58" s="169"/>
      <c r="G58" s="232"/>
      <c r="H58" s="229"/>
      <c r="J58" s="218"/>
      <c r="L58" s="233"/>
      <c r="M58" s="233"/>
      <c r="N58" s="233"/>
      <c r="O58" s="233"/>
      <c r="P58" s="232"/>
      <c r="Q58" s="229"/>
    </row>
    <row r="59" spans="1:17" x14ac:dyDescent="0.15">
      <c r="A59" s="218"/>
      <c r="C59" s="227"/>
      <c r="D59" s="227"/>
      <c r="E59" s="169"/>
      <c r="F59" s="169"/>
      <c r="G59" s="232"/>
      <c r="H59" s="229"/>
      <c r="J59" s="218"/>
      <c r="L59" s="233"/>
      <c r="M59" s="233"/>
      <c r="N59" s="233"/>
      <c r="O59" s="233"/>
      <c r="P59" s="232"/>
      <c r="Q59" s="229"/>
    </row>
    <row r="60" spans="1:17" x14ac:dyDescent="0.15">
      <c r="A60" s="218"/>
      <c r="C60" s="227"/>
      <c r="D60" s="227"/>
      <c r="E60" s="169"/>
      <c r="F60" s="169"/>
      <c r="G60" s="232"/>
      <c r="H60" s="229"/>
      <c r="J60" s="218"/>
      <c r="L60" s="233"/>
      <c r="M60" s="233"/>
      <c r="N60" s="233"/>
      <c r="O60" s="233"/>
      <c r="P60" s="232"/>
      <c r="Q60" s="229"/>
    </row>
    <row r="61" spans="1:17" x14ac:dyDescent="0.15">
      <c r="A61" s="218"/>
      <c r="C61" s="227"/>
      <c r="D61" s="227"/>
      <c r="E61" s="169"/>
      <c r="F61" s="169"/>
      <c r="G61" s="232"/>
      <c r="H61" s="229"/>
      <c r="J61" s="218"/>
      <c r="L61" s="233"/>
      <c r="M61" s="233"/>
      <c r="N61" s="233"/>
      <c r="O61" s="233"/>
      <c r="P61" s="232"/>
      <c r="Q61" s="229"/>
    </row>
    <row r="62" spans="1:17" x14ac:dyDescent="0.15">
      <c r="A62" s="218"/>
      <c r="C62" s="227"/>
      <c r="D62" s="227"/>
      <c r="E62" s="169"/>
      <c r="F62" s="169"/>
      <c r="G62" s="232"/>
      <c r="H62" s="229"/>
      <c r="J62" s="218"/>
      <c r="L62" s="233"/>
      <c r="M62" s="233"/>
      <c r="N62" s="233"/>
      <c r="O62" s="233"/>
      <c r="P62" s="232"/>
      <c r="Q62" s="229"/>
    </row>
    <row r="63" spans="1:17" x14ac:dyDescent="0.15">
      <c r="A63" s="218"/>
      <c r="C63" s="227"/>
      <c r="D63" s="227"/>
      <c r="E63" s="169"/>
      <c r="F63" s="169"/>
      <c r="G63" s="232"/>
      <c r="H63" s="229"/>
      <c r="J63" s="218"/>
      <c r="L63" s="233"/>
      <c r="M63" s="233"/>
      <c r="N63" s="233"/>
      <c r="O63" s="233"/>
      <c r="P63" s="232"/>
      <c r="Q63" s="229"/>
    </row>
    <row r="64" spans="1:17" x14ac:dyDescent="0.15">
      <c r="A64" s="218"/>
      <c r="C64" s="227"/>
      <c r="D64" s="227"/>
      <c r="E64" s="169"/>
      <c r="F64" s="169"/>
      <c r="G64" s="232"/>
      <c r="H64" s="229"/>
      <c r="J64" s="218"/>
      <c r="L64" s="233"/>
      <c r="M64" s="233"/>
      <c r="N64" s="233"/>
      <c r="O64" s="233"/>
      <c r="P64" s="232"/>
      <c r="Q64" s="229"/>
    </row>
    <row r="65" spans="1:17" x14ac:dyDescent="0.15">
      <c r="A65" s="218"/>
      <c r="C65" s="227"/>
      <c r="D65" s="227"/>
      <c r="E65" s="169"/>
      <c r="F65" s="169"/>
      <c r="G65" s="232"/>
      <c r="H65" s="229"/>
      <c r="J65" s="218"/>
      <c r="L65" s="233"/>
      <c r="M65" s="233"/>
      <c r="N65" s="233"/>
      <c r="O65" s="233"/>
      <c r="P65" s="232"/>
      <c r="Q65" s="229"/>
    </row>
    <row r="66" spans="1:17" x14ac:dyDescent="0.15">
      <c r="A66" s="218"/>
      <c r="C66" s="227"/>
      <c r="D66" s="227"/>
      <c r="E66" s="169"/>
      <c r="F66" s="169"/>
      <c r="G66" s="232"/>
      <c r="H66" s="229"/>
      <c r="J66" s="218"/>
      <c r="L66" s="233"/>
      <c r="M66" s="233"/>
      <c r="N66" s="233"/>
      <c r="O66" s="233"/>
      <c r="P66" s="232"/>
      <c r="Q66" s="229"/>
    </row>
    <row r="67" spans="1:17" x14ac:dyDescent="0.15">
      <c r="A67" s="218"/>
      <c r="C67" s="227"/>
      <c r="D67" s="227"/>
      <c r="E67" s="169"/>
      <c r="F67" s="169"/>
      <c r="G67" s="232"/>
      <c r="H67" s="229"/>
      <c r="J67" s="218"/>
      <c r="L67" s="233"/>
      <c r="M67" s="233"/>
      <c r="N67" s="233"/>
      <c r="O67" s="233"/>
      <c r="P67" s="232"/>
      <c r="Q67" s="229"/>
    </row>
    <row r="68" spans="1:17" x14ac:dyDescent="0.15">
      <c r="A68" s="218"/>
      <c r="C68" s="227"/>
      <c r="D68" s="227"/>
      <c r="E68" s="169"/>
      <c r="F68" s="169"/>
      <c r="G68" s="232"/>
      <c r="H68" s="229"/>
      <c r="J68" s="218"/>
      <c r="L68" s="233"/>
      <c r="M68" s="233"/>
      <c r="N68" s="233"/>
      <c r="O68" s="233"/>
      <c r="P68" s="232"/>
      <c r="Q68" s="229"/>
    </row>
    <row r="69" spans="1:17" x14ac:dyDescent="0.15">
      <c r="A69" s="218"/>
      <c r="C69" s="227"/>
      <c r="D69" s="227"/>
      <c r="E69" s="169"/>
      <c r="F69" s="169"/>
      <c r="G69" s="232"/>
      <c r="H69" s="229"/>
      <c r="J69" s="218"/>
      <c r="L69" s="233"/>
      <c r="M69" s="233"/>
      <c r="N69" s="233"/>
      <c r="O69" s="233"/>
      <c r="P69" s="232"/>
      <c r="Q69" s="229"/>
    </row>
    <row r="70" spans="1:17" x14ac:dyDescent="0.15">
      <c r="A70" s="218"/>
      <c r="C70" s="227"/>
      <c r="D70" s="227"/>
      <c r="E70" s="169"/>
      <c r="F70" s="169"/>
      <c r="G70" s="232"/>
      <c r="H70" s="229"/>
    </row>
    <row r="71" spans="1:17" ht="16" x14ac:dyDescent="0.2">
      <c r="G71" s="230"/>
      <c r="H71" s="229"/>
      <c r="N71" s="234"/>
      <c r="O71" s="234"/>
      <c r="P71" s="231"/>
    </row>
    <row r="72" spans="1:17" x14ac:dyDescent="0.15">
      <c r="H72" s="229"/>
      <c r="P72" s="229"/>
    </row>
    <row r="73" spans="1:17" x14ac:dyDescent="0.15">
      <c r="H73" s="229"/>
      <c r="P73" s="229"/>
    </row>
    <row r="74" spans="1:17" x14ac:dyDescent="0.15">
      <c r="H74" s="229"/>
    </row>
    <row r="75" spans="1:17" x14ac:dyDescent="0.15">
      <c r="J75" s="225"/>
    </row>
    <row r="76" spans="1:17" ht="12.75" customHeight="1" x14ac:dyDescent="0.15">
      <c r="A76" s="225"/>
      <c r="J76" s="226"/>
      <c r="K76" s="226"/>
      <c r="L76" s="226"/>
      <c r="M76" s="226"/>
      <c r="N76" s="226"/>
      <c r="O76" s="226"/>
      <c r="P76" s="226"/>
      <c r="Q76" s="226"/>
    </row>
    <row r="77" spans="1:17" ht="12.75" customHeight="1" x14ac:dyDescent="0.15">
      <c r="A77" s="226"/>
      <c r="B77" s="226"/>
      <c r="C77" s="226"/>
      <c r="D77" s="226"/>
      <c r="E77" s="226"/>
      <c r="F77" s="226"/>
      <c r="G77" s="226"/>
      <c r="H77" s="226"/>
      <c r="J77" s="218"/>
      <c r="L77" s="233"/>
      <c r="M77" s="233"/>
      <c r="N77" s="233"/>
      <c r="O77" s="233"/>
      <c r="P77" s="232"/>
      <c r="Q77" s="229"/>
    </row>
    <row r="78" spans="1:17" x14ac:dyDescent="0.15">
      <c r="A78" s="218"/>
      <c r="C78" s="233"/>
      <c r="D78" s="233"/>
      <c r="E78" s="233"/>
      <c r="F78" s="233"/>
      <c r="G78" s="232"/>
      <c r="H78" s="229"/>
      <c r="J78" s="218"/>
      <c r="L78" s="233"/>
      <c r="M78" s="233"/>
      <c r="N78" s="233"/>
      <c r="O78" s="233"/>
      <c r="P78" s="232"/>
      <c r="Q78" s="229"/>
    </row>
    <row r="79" spans="1:17" x14ac:dyDescent="0.15">
      <c r="A79" s="218"/>
      <c r="C79" s="233"/>
      <c r="D79" s="233"/>
      <c r="E79" s="233"/>
      <c r="F79" s="233"/>
      <c r="G79" s="232"/>
      <c r="H79" s="229"/>
      <c r="J79" s="218"/>
      <c r="L79" s="233"/>
      <c r="M79" s="233"/>
      <c r="N79" s="233"/>
      <c r="O79" s="233"/>
      <c r="P79" s="232"/>
      <c r="Q79" s="229"/>
    </row>
    <row r="80" spans="1:17" x14ac:dyDescent="0.15">
      <c r="A80" s="218"/>
      <c r="C80" s="233"/>
      <c r="D80" s="233"/>
      <c r="E80" s="233"/>
      <c r="F80" s="233"/>
      <c r="G80" s="232"/>
      <c r="H80" s="229"/>
      <c r="J80" s="218"/>
      <c r="L80" s="233"/>
      <c r="M80" s="233"/>
      <c r="N80" s="233"/>
      <c r="O80" s="233"/>
      <c r="P80" s="232"/>
      <c r="Q80" s="229"/>
    </row>
    <row r="81" spans="8:17" x14ac:dyDescent="0.15">
      <c r="H81" s="229"/>
      <c r="J81" s="218"/>
      <c r="L81" s="233"/>
      <c r="M81" s="233"/>
      <c r="N81" s="233"/>
      <c r="O81" s="233"/>
      <c r="P81" s="232"/>
      <c r="Q81" s="229"/>
    </row>
    <row r="82" spans="8:17" x14ac:dyDescent="0.15">
      <c r="Q82" s="229"/>
    </row>
  </sheetData>
  <sheetProtection password="C41E" sheet="1" objects="1" scenarios="1"/>
  <mergeCells count="1">
    <mergeCell ref="S30:V30"/>
  </mergeCells>
  <phoneticPr fontId="0" type="noConversion"/>
  <pageMargins left="0.75" right="0.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43"/>
  <sheetViews>
    <sheetView showGridLines="0" showRuler="0" zoomScale="75" workbookViewId="0">
      <selection activeCell="E19" sqref="E19"/>
    </sheetView>
  </sheetViews>
  <sheetFormatPr baseColWidth="10" defaultColWidth="8.83203125" defaultRowHeight="13" x14ac:dyDescent="0.15"/>
  <cols>
    <col min="1" max="1" width="1.33203125" style="16" customWidth="1"/>
    <col min="2" max="3" width="6.5" style="16" customWidth="1"/>
    <col min="4" max="4" width="8.6640625" style="16" customWidth="1"/>
    <col min="5" max="6" width="14.6640625" style="16" customWidth="1"/>
    <col min="7" max="7" width="6.83203125" style="16" customWidth="1"/>
    <col min="8" max="9" width="6.6640625" style="16" customWidth="1"/>
    <col min="10" max="10" width="8.6640625" style="16" customWidth="1"/>
    <col min="11" max="12" width="14.6640625" style="16" customWidth="1"/>
    <col min="13" max="13" width="1.83203125" style="16" customWidth="1"/>
    <col min="14" max="14" width="8.5" style="16" customWidth="1"/>
    <col min="15" max="15" width="8.6640625" style="16" customWidth="1"/>
    <col min="16" max="17" width="14.6640625" style="16" customWidth="1"/>
    <col min="18" max="18" width="1.33203125" style="16" customWidth="1"/>
    <col min="19" max="19" width="5.5" style="16" customWidth="1"/>
    <col min="20" max="20" width="9.1640625" style="16" hidden="1" customWidth="1"/>
    <col min="21" max="21" width="5" style="171" hidden="1" customWidth="1"/>
    <col min="22" max="22" width="4" style="16" hidden="1" customWidth="1"/>
    <col min="23" max="23" width="4.6640625" style="16" hidden="1" customWidth="1"/>
    <col min="24" max="24" width="5.1640625" style="16" hidden="1" customWidth="1"/>
    <col min="25" max="25" width="8" style="16" hidden="1" customWidth="1"/>
    <col min="26" max="26" width="3.6640625" style="16" hidden="1" customWidth="1"/>
    <col min="27" max="27" width="6.5" style="16" hidden="1" customWidth="1"/>
    <col min="28" max="28" width="3.6640625" style="16" hidden="1" customWidth="1"/>
    <col min="29" max="29" width="8.1640625" style="16" hidden="1" customWidth="1"/>
    <col min="30" max="30" width="5.5" style="16" hidden="1" customWidth="1"/>
    <col min="31" max="31" width="6" style="16" hidden="1" customWidth="1"/>
    <col min="32" max="32" width="6.1640625" style="16" hidden="1" customWidth="1"/>
    <col min="33" max="33" width="8.5" style="16" hidden="1" customWidth="1"/>
    <col min="34" max="34" width="6.33203125" style="16" hidden="1" customWidth="1"/>
    <col min="35" max="36" width="6.1640625" style="16" customWidth="1"/>
    <col min="37" max="37" width="5.1640625" style="16" customWidth="1"/>
    <col min="38" max="38" width="6.83203125" style="16" customWidth="1"/>
    <col min="39" max="39" width="6.5" style="16" customWidth="1"/>
    <col min="40" max="40" width="16" style="16" customWidth="1"/>
    <col min="41" max="16384" width="8.83203125" style="16"/>
  </cols>
  <sheetData>
    <row r="1" spans="1:34" ht="15" customHeight="1" thickBot="1" x14ac:dyDescent="0.2">
      <c r="A1" s="11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4"/>
      <c r="S1" s="15"/>
    </row>
    <row r="2" spans="1:34" ht="15" customHeight="1" x14ac:dyDescent="0.2">
      <c r="A2" s="17"/>
      <c r="B2" s="417" t="s">
        <v>174</v>
      </c>
      <c r="C2" s="418"/>
      <c r="D2" s="418"/>
      <c r="E2" s="419"/>
      <c r="F2" s="15"/>
      <c r="G2" s="15"/>
      <c r="H2" s="15"/>
      <c r="I2" s="15"/>
      <c r="J2" s="15"/>
      <c r="K2" s="15"/>
      <c r="L2" s="15"/>
      <c r="M2" s="15"/>
      <c r="N2" s="15"/>
      <c r="O2"/>
      <c r="P2"/>
      <c r="Q2"/>
      <c r="R2" s="18"/>
      <c r="S2" s="15"/>
    </row>
    <row r="3" spans="1:34" ht="15" customHeight="1" thickBot="1" x14ac:dyDescent="0.25">
      <c r="A3" s="17"/>
      <c r="B3" s="420" t="s">
        <v>173</v>
      </c>
      <c r="C3" s="421"/>
      <c r="D3" s="421"/>
      <c r="E3" s="422"/>
      <c r="F3" s="15"/>
      <c r="G3" s="15"/>
      <c r="H3" s="15"/>
      <c r="I3" s="15"/>
      <c r="J3" s="15"/>
      <c r="K3" s="15"/>
      <c r="L3" s="15"/>
      <c r="M3" s="15"/>
      <c r="N3" s="15"/>
      <c r="O3"/>
      <c r="P3"/>
      <c r="Q3"/>
      <c r="R3" s="18"/>
      <c r="S3" s="15"/>
    </row>
    <row r="4" spans="1:34" ht="15" customHeight="1" x14ac:dyDescent="0.15">
      <c r="A4" s="17"/>
      <c r="B4" s="425" t="s">
        <v>331</v>
      </c>
      <c r="C4" s="426"/>
      <c r="D4" s="426"/>
      <c r="E4" s="427"/>
      <c r="F4" s="15"/>
      <c r="G4" s="15"/>
      <c r="H4" s="15"/>
      <c r="I4" s="15"/>
      <c r="J4" s="15"/>
      <c r="K4" s="15"/>
      <c r="L4" s="15"/>
      <c r="M4" s="15"/>
      <c r="N4" s="15"/>
      <c r="O4"/>
      <c r="P4"/>
      <c r="Q4"/>
      <c r="R4" s="18"/>
      <c r="S4" s="15"/>
    </row>
    <row r="5" spans="1:34" ht="17" customHeight="1" thickBot="1" x14ac:dyDescent="0.25">
      <c r="A5" s="17"/>
      <c r="B5" s="395">
        <f>'Metric Form'!B5</f>
        <v>0</v>
      </c>
      <c r="C5" s="396"/>
      <c r="D5" s="396"/>
      <c r="E5" s="397"/>
      <c r="F5" s="15"/>
      <c r="G5" s="15"/>
      <c r="H5" s="15"/>
      <c r="I5" s="15"/>
      <c r="J5" s="15"/>
      <c r="K5" s="15"/>
      <c r="L5" s="15"/>
      <c r="M5" s="15"/>
      <c r="N5" s="15"/>
      <c r="O5"/>
      <c r="P5"/>
      <c r="Q5"/>
      <c r="R5" s="18"/>
      <c r="S5" s="15"/>
    </row>
    <row r="6" spans="1:34" ht="15" customHeight="1" x14ac:dyDescent="0.15">
      <c r="A6" s="17"/>
      <c r="B6" s="19"/>
      <c r="C6" s="19"/>
      <c r="D6" s="19"/>
      <c r="E6" s="19"/>
      <c r="F6" s="15"/>
      <c r="G6" s="15"/>
      <c r="H6" s="15"/>
      <c r="I6" s="15"/>
      <c r="J6" s="15"/>
      <c r="K6" s="15"/>
      <c r="L6" s="15"/>
      <c r="M6" s="15"/>
      <c r="N6" s="15"/>
      <c r="O6"/>
      <c r="P6"/>
      <c r="Q6"/>
      <c r="R6" s="18"/>
      <c r="S6" s="15"/>
    </row>
    <row r="7" spans="1:34" ht="15" customHeight="1" x14ac:dyDescent="0.1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8"/>
      <c r="S7" s="15"/>
    </row>
    <row r="8" spans="1:34" ht="18" customHeight="1" x14ac:dyDescent="0.2">
      <c r="A8" s="17"/>
      <c r="B8" s="376" t="s">
        <v>332</v>
      </c>
      <c r="C8" s="377"/>
      <c r="D8" s="390" t="str">
        <f>'Metric Form'!D8</f>
        <v>Cabinetmart Inc</v>
      </c>
      <c r="E8" s="391"/>
      <c r="F8" s="391"/>
      <c r="G8" s="15"/>
      <c r="H8" s="20"/>
      <c r="I8" s="21"/>
      <c r="J8" s="21"/>
      <c r="K8" s="21"/>
      <c r="L8" s="15"/>
      <c r="M8" s="15"/>
      <c r="N8" s="15"/>
      <c r="O8" s="22" t="s">
        <v>333</v>
      </c>
      <c r="P8" s="423">
        <f ca="1">NOW()</f>
        <v>43453.491455555559</v>
      </c>
      <c r="Q8" s="424"/>
      <c r="R8" s="18"/>
      <c r="S8" s="15"/>
    </row>
    <row r="9" spans="1:34" ht="15" customHeight="1" x14ac:dyDescent="0.15">
      <c r="A9" s="17"/>
      <c r="B9" s="2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4"/>
      <c r="P9" s="15"/>
      <c r="Q9" s="15"/>
      <c r="R9" s="18"/>
      <c r="S9" s="15"/>
    </row>
    <row r="10" spans="1:34" ht="18" customHeight="1" x14ac:dyDescent="0.2">
      <c r="A10" s="17"/>
      <c r="B10" s="376" t="s">
        <v>334</v>
      </c>
      <c r="C10" s="377"/>
      <c r="D10" s="390">
        <f>'Metric Form'!D10</f>
        <v>0</v>
      </c>
      <c r="E10" s="391"/>
      <c r="F10" s="391"/>
      <c r="G10" s="15"/>
      <c r="I10" s="15"/>
      <c r="J10" s="15"/>
      <c r="K10" s="15"/>
      <c r="L10" s="376" t="s">
        <v>335</v>
      </c>
      <c r="M10" s="392"/>
      <c r="N10" s="392"/>
      <c r="O10" s="393"/>
      <c r="P10" s="394">
        <f>'Metric Form'!P10</f>
        <v>0</v>
      </c>
      <c r="Q10" s="394"/>
      <c r="R10" s="18"/>
      <c r="S10" s="15"/>
    </row>
    <row r="11" spans="1:34" ht="15" customHeight="1" x14ac:dyDescent="0.15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15"/>
    </row>
    <row r="12" spans="1:34" ht="18" customHeight="1" x14ac:dyDescent="0.2">
      <c r="A12" s="17"/>
      <c r="B12" s="376" t="s">
        <v>349</v>
      </c>
      <c r="C12" s="377"/>
      <c r="D12" s="378">
        <f>'Metric Form'!D12</f>
        <v>0</v>
      </c>
      <c r="E12" s="379"/>
      <c r="F12" s="380"/>
      <c r="G12" s="15"/>
      <c r="H12" s="15"/>
      <c r="I12" s="15"/>
      <c r="J12" s="15"/>
      <c r="K12" s="15"/>
      <c r="L12" s="381" t="s">
        <v>336</v>
      </c>
      <c r="M12" s="382"/>
      <c r="N12" s="378">
        <f>'Metric Form'!N12</f>
        <v>0</v>
      </c>
      <c r="O12" s="379"/>
      <c r="P12" s="379"/>
      <c r="Q12" s="380"/>
      <c r="R12" s="18"/>
      <c r="S12" s="15"/>
    </row>
    <row r="13" spans="1:34" ht="15" customHeight="1" x14ac:dyDescent="0.15">
      <c r="A13" s="17"/>
      <c r="B13" s="25"/>
      <c r="C13" s="25"/>
      <c r="D13" s="25"/>
      <c r="E13" s="25"/>
      <c r="F13" s="2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8"/>
      <c r="S13" s="15"/>
    </row>
    <row r="14" spans="1:34" ht="15" customHeight="1" thickBot="1" x14ac:dyDescent="0.2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8"/>
      <c r="S14" s="15"/>
      <c r="T14" s="11"/>
      <c r="U14" s="16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4"/>
    </row>
    <row r="15" spans="1:34" ht="18" customHeight="1" x14ac:dyDescent="0.15">
      <c r="A15" s="17"/>
      <c r="B15" s="324" t="s">
        <v>159</v>
      </c>
      <c r="C15" s="337"/>
      <c r="D15" s="337"/>
      <c r="E15" s="337"/>
      <c r="F15" s="338"/>
      <c r="G15" s="15"/>
      <c r="H15" s="324" t="s">
        <v>160</v>
      </c>
      <c r="I15" s="337"/>
      <c r="J15" s="337"/>
      <c r="K15" s="337"/>
      <c r="L15" s="338"/>
      <c r="M15" s="41"/>
      <c r="N15" s="15"/>
      <c r="O15" s="324" t="s">
        <v>161</v>
      </c>
      <c r="P15" s="337"/>
      <c r="Q15" s="338"/>
      <c r="R15" s="18"/>
      <c r="S15" s="15"/>
      <c r="T15" s="17"/>
      <c r="U15" s="164"/>
      <c r="V15" s="15"/>
      <c r="W15" s="15"/>
      <c r="X15" s="15"/>
      <c r="Y15" s="15" t="s">
        <v>155</v>
      </c>
      <c r="Z15" s="15"/>
      <c r="AA15" s="15"/>
      <c r="AB15" s="15"/>
      <c r="AC15" s="15" t="s">
        <v>155</v>
      </c>
      <c r="AD15" s="15"/>
      <c r="AE15" s="15"/>
      <c r="AF15" s="15"/>
      <c r="AG15" s="15" t="s">
        <v>155</v>
      </c>
      <c r="AH15" s="18"/>
    </row>
    <row r="16" spans="1:34" ht="17.25" customHeight="1" x14ac:dyDescent="0.2">
      <c r="A16" s="17"/>
      <c r="B16" s="371" t="s">
        <v>348</v>
      </c>
      <c r="C16" s="372"/>
      <c r="D16" s="373"/>
      <c r="E16" s="414"/>
      <c r="F16" s="415"/>
      <c r="G16" s="15"/>
      <c r="H16" s="371" t="s">
        <v>117</v>
      </c>
      <c r="I16" s="372"/>
      <c r="J16" s="373"/>
      <c r="K16" s="414"/>
      <c r="L16" s="415"/>
      <c r="M16" s="21"/>
      <c r="N16" s="15"/>
      <c r="O16" s="416" t="s">
        <v>162</v>
      </c>
      <c r="P16" s="377"/>
      <c r="Q16" s="241">
        <f>'Metric Form'!Q21</f>
        <v>0</v>
      </c>
      <c r="R16" s="18"/>
      <c r="S16" s="15"/>
      <c r="T16" s="17"/>
      <c r="U16" s="164" t="s">
        <v>156</v>
      </c>
      <c r="V16" s="15"/>
      <c r="W16" s="15"/>
      <c r="X16" s="15"/>
      <c r="Y16" s="15" t="s">
        <v>280</v>
      </c>
      <c r="Z16" s="15"/>
      <c r="AA16" s="15"/>
      <c r="AB16" s="15"/>
      <c r="AC16" s="15" t="s">
        <v>283</v>
      </c>
      <c r="AD16" s="15"/>
      <c r="AE16" s="15"/>
      <c r="AF16" s="15"/>
      <c r="AG16" s="15" t="s">
        <v>286</v>
      </c>
      <c r="AH16" s="18"/>
    </row>
    <row r="17" spans="1:34" ht="18" customHeight="1" x14ac:dyDescent="0.15">
      <c r="A17" s="17"/>
      <c r="B17" s="353" t="s">
        <v>118</v>
      </c>
      <c r="C17" s="354"/>
      <c r="D17" s="44" t="s">
        <v>119</v>
      </c>
      <c r="E17" s="44" t="s">
        <v>120</v>
      </c>
      <c r="F17" s="45" t="s">
        <v>121</v>
      </c>
      <c r="G17" s="15"/>
      <c r="H17" s="355" t="s">
        <v>118</v>
      </c>
      <c r="I17" s="356"/>
      <c r="J17" s="46" t="s">
        <v>119</v>
      </c>
      <c r="K17" s="46" t="s">
        <v>120</v>
      </c>
      <c r="L17" s="47" t="s">
        <v>121</v>
      </c>
      <c r="M17" s="48"/>
      <c r="N17" s="15"/>
      <c r="O17" s="49" t="s">
        <v>119</v>
      </c>
      <c r="P17" s="50" t="s">
        <v>120</v>
      </c>
      <c r="Q17" s="51" t="s">
        <v>121</v>
      </c>
      <c r="R17" s="18"/>
      <c r="S17" s="15"/>
      <c r="T17" s="104"/>
      <c r="U17" s="166" t="s">
        <v>157</v>
      </c>
      <c r="V17" s="140"/>
      <c r="W17" s="140"/>
      <c r="X17" s="140"/>
      <c r="Y17" s="140" t="s">
        <v>128</v>
      </c>
      <c r="Z17" s="140"/>
      <c r="AA17" s="140"/>
      <c r="AB17" s="140"/>
      <c r="AC17" s="140" t="s">
        <v>128</v>
      </c>
      <c r="AD17" s="140"/>
      <c r="AE17" s="140"/>
      <c r="AF17" s="140"/>
      <c r="AG17" s="140" t="s">
        <v>158</v>
      </c>
      <c r="AH17" s="145"/>
    </row>
    <row r="18" spans="1:34" ht="12" customHeight="1" thickBot="1" x14ac:dyDescent="0.2">
      <c r="A18" s="17"/>
      <c r="B18" s="52" t="s">
        <v>122</v>
      </c>
      <c r="C18" s="53" t="s">
        <v>123</v>
      </c>
      <c r="D18" s="54"/>
      <c r="E18" s="54"/>
      <c r="F18" s="55"/>
      <c r="G18" s="15"/>
      <c r="H18" s="56" t="s">
        <v>122</v>
      </c>
      <c r="I18" s="57" t="s">
        <v>123</v>
      </c>
      <c r="J18" s="58"/>
      <c r="K18" s="58"/>
      <c r="L18" s="59"/>
      <c r="M18" s="21"/>
      <c r="N18" s="15"/>
      <c r="O18" s="60"/>
      <c r="P18" s="61"/>
      <c r="Q18" s="62"/>
      <c r="R18" s="18"/>
      <c r="S18" s="15"/>
      <c r="T18" s="17"/>
      <c r="U18" s="164"/>
      <c r="V18" s="15"/>
      <c r="W18" s="15"/>
      <c r="X18" s="15"/>
      <c r="Y18" s="175"/>
      <c r="Z18" s="15"/>
      <c r="AA18" s="15"/>
      <c r="AB18" s="15"/>
      <c r="AC18" s="175"/>
      <c r="AD18" s="15"/>
      <c r="AE18" s="15"/>
      <c r="AF18" s="15"/>
      <c r="AG18" s="15"/>
      <c r="AH18" s="18"/>
    </row>
    <row r="19" spans="1:34" ht="21" customHeight="1" thickBot="1" x14ac:dyDescent="0.25">
      <c r="A19" s="17"/>
      <c r="B19" s="176"/>
      <c r="C19" s="177"/>
      <c r="D19" s="194" t="str">
        <f>IF('Metric Form'!D24="","",IF('Metric Form'!D24&gt;0,'Metric Form'!D24))</f>
        <v/>
      </c>
      <c r="E19" s="178" t="str">
        <f>IF('Metric Form'!E24="","",'Metric Form'!E24-128.587)</f>
        <v/>
      </c>
      <c r="F19" s="178" t="str">
        <f>IF('Metric Form'!F24="","",'Metric Form'!F24-128.587)</f>
        <v/>
      </c>
      <c r="G19" s="15"/>
      <c r="H19" s="180"/>
      <c r="I19" s="177"/>
      <c r="J19" s="194" t="str">
        <f>IF('Metric Form'!J24="","",IF('Metric Form'!J24&gt;0,'Metric Form'!J24))</f>
        <v/>
      </c>
      <c r="K19" s="178" t="str">
        <f>IF('Metric Form'!K24="","",'Metric Form'!K24-128.587)</f>
        <v/>
      </c>
      <c r="L19" s="178" t="str">
        <f>IF('Metric Form'!L24="","",'Metric Form'!L24-128.587)</f>
        <v/>
      </c>
      <c r="M19" s="70"/>
      <c r="N19" s="15"/>
      <c r="O19" s="102" t="str">
        <f>IF('Metric Form'!O24="","",IF('Metric Form'!O24&gt;0,'Metric Form'!O24))</f>
        <v/>
      </c>
      <c r="P19" s="178" t="str">
        <f>IF('Metric Form'!P24="","",'Metric Form'!P24-128.587)</f>
        <v/>
      </c>
      <c r="Q19" s="179" t="str">
        <f>IF('Metric Form'!Q24="","",'Metric Form'!Q24-68.262)</f>
        <v/>
      </c>
      <c r="R19" s="18"/>
      <c r="S19" s="15"/>
      <c r="T19" s="17"/>
      <c r="U19" s="164">
        <v>1</v>
      </c>
      <c r="V19" s="167" t="e">
        <f>E19*F19/144</f>
        <v>#VALUE!</v>
      </c>
      <c r="W19" s="167" t="e">
        <f>IF(D19=0,0,IF(E19*F19/144&lt;1,1,E19*F19/144))</f>
        <v>#VALUE!</v>
      </c>
      <c r="X19" s="167" t="e">
        <f>$W19*$D19</f>
        <v>#VALUE!</v>
      </c>
      <c r="Y19" s="168">
        <v>0</v>
      </c>
      <c r="Z19" s="169">
        <v>63.00390625</v>
      </c>
      <c r="AA19" s="169">
        <v>0</v>
      </c>
      <c r="AB19" s="169">
        <v>0</v>
      </c>
      <c r="AC19" s="168">
        <v>0</v>
      </c>
      <c r="AD19" s="169">
        <v>29.401822916666667</v>
      </c>
      <c r="AE19" s="169">
        <v>0</v>
      </c>
      <c r="AF19" s="169">
        <v>0</v>
      </c>
      <c r="AG19" s="169">
        <v>0</v>
      </c>
      <c r="AH19" s="18"/>
    </row>
    <row r="20" spans="1:34" ht="21" customHeight="1" thickBot="1" x14ac:dyDescent="0.25">
      <c r="A20" s="17"/>
      <c r="B20" s="181"/>
      <c r="C20" s="182"/>
      <c r="D20" s="74" t="str">
        <f>IF('Metric Form'!D25="","",IF('Metric Form'!D25&gt;0,'Metric Form'!D25))</f>
        <v/>
      </c>
      <c r="E20" s="178" t="str">
        <f>IF('Metric Form'!E25="","",'Metric Form'!E25-128.587)</f>
        <v/>
      </c>
      <c r="F20" s="178" t="str">
        <f>IF('Metric Form'!F25="","",'Metric Form'!F25-128.587)</f>
        <v/>
      </c>
      <c r="G20" s="15"/>
      <c r="H20" s="185"/>
      <c r="I20" s="182"/>
      <c r="J20" s="74" t="str">
        <f>IF('Metric Form'!J25="","",IF('Metric Form'!J25&gt;0,'Metric Form'!J25))</f>
        <v/>
      </c>
      <c r="K20" s="178" t="str">
        <f>IF('Metric Form'!K25="","",'Metric Form'!K25-128.587)</f>
        <v/>
      </c>
      <c r="L20" s="178" t="str">
        <f>IF('Metric Form'!L25="","",'Metric Form'!L25-128.587)</f>
        <v/>
      </c>
      <c r="M20" s="70"/>
      <c r="N20" s="15"/>
      <c r="O20" s="77" t="str">
        <f>IF('Metric Form'!O25="","",IF('Metric Form'!O25&gt;0,'Metric Form'!O25))</f>
        <v/>
      </c>
      <c r="P20" s="178" t="str">
        <f>IF('Metric Form'!P25="","",'Metric Form'!P25-128.587)</f>
        <v/>
      </c>
      <c r="Q20" s="179" t="str">
        <f>IF('Metric Form'!Q25="","",'Metric Form'!Q25-68.262)</f>
        <v/>
      </c>
      <c r="R20" s="18"/>
      <c r="S20" s="15"/>
      <c r="T20" s="17"/>
      <c r="U20" s="164">
        <v>2</v>
      </c>
      <c r="V20" s="167" t="e">
        <f t="shared" ref="V20:V33" si="0">E20*F20/144</f>
        <v>#VALUE!</v>
      </c>
      <c r="W20" s="167" t="e">
        <f t="shared" ref="W20:W33" si="1">IF(D20=0,0,IF(E20*F20/144&lt;1,1,E20*F20/144))</f>
        <v>#VALUE!</v>
      </c>
      <c r="X20" s="167" t="e">
        <f t="shared" ref="X20:X33" si="2">$W20*$D20</f>
        <v>#VALUE!</v>
      </c>
      <c r="Y20" s="168">
        <v>0</v>
      </c>
      <c r="Z20" s="169">
        <v>63.00390625</v>
      </c>
      <c r="AA20" s="169">
        <v>0</v>
      </c>
      <c r="AB20" s="169">
        <v>0</v>
      </c>
      <c r="AC20" s="168">
        <v>0</v>
      </c>
      <c r="AD20" s="169">
        <v>29.401822916666667</v>
      </c>
      <c r="AE20" s="169">
        <v>0</v>
      </c>
      <c r="AF20" s="169">
        <v>0</v>
      </c>
      <c r="AG20" s="169">
        <v>0</v>
      </c>
      <c r="AH20" s="18"/>
    </row>
    <row r="21" spans="1:34" ht="21" customHeight="1" thickBot="1" x14ac:dyDescent="0.25">
      <c r="A21" s="17"/>
      <c r="B21" s="181"/>
      <c r="C21" s="182"/>
      <c r="D21" s="74" t="str">
        <f>IF('Metric Form'!D26="","",IF('Metric Form'!D26&gt;0,'Metric Form'!D26))</f>
        <v/>
      </c>
      <c r="E21" s="178" t="str">
        <f>IF('Metric Form'!E26="","",'Metric Form'!E26-128.587)</f>
        <v/>
      </c>
      <c r="F21" s="178" t="str">
        <f>IF('Metric Form'!F26="","",'Metric Form'!F26-128.587)</f>
        <v/>
      </c>
      <c r="G21" s="15"/>
      <c r="H21" s="185"/>
      <c r="I21" s="182"/>
      <c r="J21" s="74" t="str">
        <f>IF('Metric Form'!J26="","",IF('Metric Form'!J26&gt;0,'Metric Form'!J26))</f>
        <v/>
      </c>
      <c r="K21" s="178" t="str">
        <f>IF('Metric Form'!K26="","",'Metric Form'!K26-128.587)</f>
        <v/>
      </c>
      <c r="L21" s="178" t="str">
        <f>IF('Metric Form'!L26="","",'Metric Form'!L26-128.587)</f>
        <v/>
      </c>
      <c r="M21" s="70"/>
      <c r="N21" s="15"/>
      <c r="O21" s="77" t="str">
        <f>IF('Metric Form'!O26="","",IF('Metric Form'!O26&gt;0,'Metric Form'!O26))</f>
        <v/>
      </c>
      <c r="P21" s="178" t="str">
        <f>IF('Metric Form'!P26="","",'Metric Form'!P26-128.587)</f>
        <v/>
      </c>
      <c r="Q21" s="179" t="str">
        <f>IF('Metric Form'!Q26="","",'Metric Form'!Q26-68.262)</f>
        <v/>
      </c>
      <c r="R21" s="18"/>
      <c r="S21" s="15"/>
      <c r="T21" s="17"/>
      <c r="U21" s="164">
        <v>3</v>
      </c>
      <c r="V21" s="167" t="e">
        <f t="shared" si="0"/>
        <v>#VALUE!</v>
      </c>
      <c r="W21" s="167" t="e">
        <f t="shared" si="1"/>
        <v>#VALUE!</v>
      </c>
      <c r="X21" s="167" t="e">
        <f t="shared" si="2"/>
        <v>#VALUE!</v>
      </c>
      <c r="Y21" s="168">
        <v>0</v>
      </c>
      <c r="Z21" s="169">
        <v>63.00390625</v>
      </c>
      <c r="AA21" s="169">
        <v>0</v>
      </c>
      <c r="AB21" s="169">
        <v>0</v>
      </c>
      <c r="AC21" s="168">
        <v>0</v>
      </c>
      <c r="AD21" s="169">
        <v>29.401822916666667</v>
      </c>
      <c r="AE21" s="169">
        <v>0</v>
      </c>
      <c r="AF21" s="169">
        <v>0</v>
      </c>
      <c r="AG21" s="169">
        <v>0</v>
      </c>
      <c r="AH21" s="18"/>
    </row>
    <row r="22" spans="1:34" ht="21" customHeight="1" thickBot="1" x14ac:dyDescent="0.25">
      <c r="A22" s="17"/>
      <c r="B22" s="181"/>
      <c r="C22" s="182"/>
      <c r="D22" s="74" t="str">
        <f>IF('Metric Form'!D27="","",IF('Metric Form'!D27&gt;0,'Metric Form'!D27))</f>
        <v/>
      </c>
      <c r="E22" s="178" t="str">
        <f>IF('Metric Form'!E27="","",'Metric Form'!E27-128.587)</f>
        <v/>
      </c>
      <c r="F22" s="178" t="str">
        <f>IF('Metric Form'!F27="","",'Metric Form'!F27-128.587)</f>
        <v/>
      </c>
      <c r="G22" s="15"/>
      <c r="H22" s="185"/>
      <c r="I22" s="182"/>
      <c r="J22" s="74" t="str">
        <f>IF('Metric Form'!J27="","",IF('Metric Form'!J27&gt;0,'Metric Form'!J27))</f>
        <v/>
      </c>
      <c r="K22" s="178" t="str">
        <f>IF('Metric Form'!K27="","",'Metric Form'!K27-128.587)</f>
        <v/>
      </c>
      <c r="L22" s="178" t="str">
        <f>IF('Metric Form'!L27="","",'Metric Form'!L27-128.587)</f>
        <v/>
      </c>
      <c r="M22" s="70"/>
      <c r="N22" s="15"/>
      <c r="O22" s="77" t="str">
        <f>IF('Metric Form'!O27="","",IF('Metric Form'!O27&gt;0,'Metric Form'!O27))</f>
        <v/>
      </c>
      <c r="P22" s="178" t="str">
        <f>IF('Metric Form'!P27="","",'Metric Form'!P27-128.587)</f>
        <v/>
      </c>
      <c r="Q22" s="179" t="str">
        <f>IF('Metric Form'!Q27="","",'Metric Form'!Q27-68.262)</f>
        <v/>
      </c>
      <c r="R22" s="18"/>
      <c r="S22" s="15"/>
      <c r="T22" s="17"/>
      <c r="U22" s="164">
        <v>4</v>
      </c>
      <c r="V22" s="167" t="e">
        <f t="shared" si="0"/>
        <v>#VALUE!</v>
      </c>
      <c r="W22" s="167" t="e">
        <f t="shared" si="1"/>
        <v>#VALUE!</v>
      </c>
      <c r="X22" s="167" t="e">
        <f t="shared" si="2"/>
        <v>#VALUE!</v>
      </c>
      <c r="Y22" s="168">
        <v>0</v>
      </c>
      <c r="Z22" s="169">
        <v>63.00390625</v>
      </c>
      <c r="AA22" s="169">
        <v>0</v>
      </c>
      <c r="AB22" s="169">
        <v>0</v>
      </c>
      <c r="AC22" s="168">
        <v>0</v>
      </c>
      <c r="AD22" s="169">
        <v>29.401822916666667</v>
      </c>
      <c r="AE22" s="169">
        <v>0</v>
      </c>
      <c r="AF22" s="169">
        <v>0</v>
      </c>
      <c r="AG22" s="169">
        <v>0</v>
      </c>
      <c r="AH22" s="18"/>
    </row>
    <row r="23" spans="1:34" ht="21" customHeight="1" thickBot="1" x14ac:dyDescent="0.25">
      <c r="A23" s="17"/>
      <c r="B23" s="181"/>
      <c r="C23" s="182"/>
      <c r="D23" s="74" t="str">
        <f>IF('Metric Form'!D28="","",IF('Metric Form'!D28&gt;0,'Metric Form'!D28))</f>
        <v/>
      </c>
      <c r="E23" s="178" t="str">
        <f>IF('Metric Form'!E28="","",'Metric Form'!E28-128.587)</f>
        <v/>
      </c>
      <c r="F23" s="178" t="str">
        <f>IF('Metric Form'!F28="","",'Metric Form'!F28-128.587)</f>
        <v/>
      </c>
      <c r="G23" s="15"/>
      <c r="H23" s="185"/>
      <c r="I23" s="182"/>
      <c r="J23" s="74" t="str">
        <f>IF('Metric Form'!J28="","",IF('Metric Form'!J28&gt;0,'Metric Form'!J28))</f>
        <v/>
      </c>
      <c r="K23" s="178" t="str">
        <f>IF('Metric Form'!K28="","",'Metric Form'!K28-128.587)</f>
        <v/>
      </c>
      <c r="L23" s="178" t="str">
        <f>IF('Metric Form'!L28="","",'Metric Form'!L28-128.587)</f>
        <v/>
      </c>
      <c r="M23" s="70"/>
      <c r="N23" s="15"/>
      <c r="O23" s="77" t="str">
        <f>IF('Metric Form'!O28="","",IF('Metric Form'!O28&gt;0,'Metric Form'!O28))</f>
        <v/>
      </c>
      <c r="P23" s="178" t="str">
        <f>IF('Metric Form'!P28="","",'Metric Form'!P28-128.587)</f>
        <v/>
      </c>
      <c r="Q23" s="179" t="str">
        <f>IF('Metric Form'!Q28="","",'Metric Form'!Q28-68.262)</f>
        <v/>
      </c>
      <c r="R23" s="18"/>
      <c r="S23" s="15"/>
      <c r="T23" s="17"/>
      <c r="U23" s="164">
        <v>5</v>
      </c>
      <c r="V23" s="167" t="e">
        <f t="shared" si="0"/>
        <v>#VALUE!</v>
      </c>
      <c r="W23" s="167" t="e">
        <f t="shared" si="1"/>
        <v>#VALUE!</v>
      </c>
      <c r="X23" s="167" t="e">
        <f t="shared" si="2"/>
        <v>#VALUE!</v>
      </c>
      <c r="Y23" s="168">
        <v>0</v>
      </c>
      <c r="Z23" s="169">
        <v>63.00390625</v>
      </c>
      <c r="AA23" s="169">
        <v>0</v>
      </c>
      <c r="AB23" s="169">
        <v>0</v>
      </c>
      <c r="AC23" s="168">
        <v>0</v>
      </c>
      <c r="AD23" s="169">
        <v>29.401822916666667</v>
      </c>
      <c r="AE23" s="169">
        <v>0</v>
      </c>
      <c r="AF23" s="169">
        <v>0</v>
      </c>
      <c r="AG23" s="169">
        <v>0</v>
      </c>
      <c r="AH23" s="18"/>
    </row>
    <row r="24" spans="1:34" ht="21" customHeight="1" thickBot="1" x14ac:dyDescent="0.25">
      <c r="A24" s="17"/>
      <c r="B24" s="181"/>
      <c r="C24" s="182"/>
      <c r="D24" s="74" t="str">
        <f>IF('Metric Form'!D29="","",IF('Metric Form'!D29&gt;0,'Metric Form'!D29))</f>
        <v/>
      </c>
      <c r="E24" s="178" t="str">
        <f>IF('Metric Form'!E29="","",'Metric Form'!E29-128.587)</f>
        <v/>
      </c>
      <c r="F24" s="178" t="str">
        <f>IF('Metric Form'!F29="","",'Metric Form'!F29-128.587)</f>
        <v/>
      </c>
      <c r="G24" s="15"/>
      <c r="H24" s="185"/>
      <c r="I24" s="182"/>
      <c r="J24" s="74" t="str">
        <f>IF('Metric Form'!J29="","",IF('Metric Form'!J29&gt;0,'Metric Form'!J29))</f>
        <v/>
      </c>
      <c r="K24" s="178" t="str">
        <f>IF('Metric Form'!K29="","",'Metric Form'!K29-128.587)</f>
        <v/>
      </c>
      <c r="L24" s="178" t="str">
        <f>IF('Metric Form'!L29="","",'Metric Form'!L29-128.587)</f>
        <v/>
      </c>
      <c r="M24" s="70"/>
      <c r="N24" s="15"/>
      <c r="O24" s="77" t="str">
        <f>IF('Metric Form'!O29="","",IF('Metric Form'!O29&gt;0,'Metric Form'!O29))</f>
        <v/>
      </c>
      <c r="P24" s="178" t="str">
        <f>IF('Metric Form'!P29="","",'Metric Form'!P29-128.587)</f>
        <v/>
      </c>
      <c r="Q24" s="179" t="str">
        <f>IF('Metric Form'!Q29="","",'Metric Form'!Q29-68.262)</f>
        <v/>
      </c>
      <c r="R24" s="18"/>
      <c r="S24" s="15"/>
      <c r="T24" s="17"/>
      <c r="U24" s="164">
        <v>6</v>
      </c>
      <c r="V24" s="167" t="e">
        <f t="shared" si="0"/>
        <v>#VALUE!</v>
      </c>
      <c r="W24" s="167" t="e">
        <f t="shared" si="1"/>
        <v>#VALUE!</v>
      </c>
      <c r="X24" s="167" t="e">
        <f t="shared" si="2"/>
        <v>#VALUE!</v>
      </c>
      <c r="Y24" s="168">
        <v>0</v>
      </c>
      <c r="Z24" s="169">
        <v>63.00390625</v>
      </c>
      <c r="AA24" s="169">
        <v>0</v>
      </c>
      <c r="AB24" s="169">
        <v>0</v>
      </c>
      <c r="AC24" s="168">
        <v>0</v>
      </c>
      <c r="AD24" s="169">
        <v>29.401822916666667</v>
      </c>
      <c r="AE24" s="169">
        <v>0</v>
      </c>
      <c r="AF24" s="169">
        <v>0</v>
      </c>
      <c r="AG24" s="169">
        <v>0</v>
      </c>
      <c r="AH24" s="18"/>
    </row>
    <row r="25" spans="1:34" ht="21" customHeight="1" thickBot="1" x14ac:dyDescent="0.25">
      <c r="A25" s="17"/>
      <c r="B25" s="181"/>
      <c r="C25" s="182"/>
      <c r="D25" s="74" t="str">
        <f>IF('Metric Form'!D30="","",IF('Metric Form'!D30&gt;0,'Metric Form'!D30))</f>
        <v/>
      </c>
      <c r="E25" s="178" t="str">
        <f>IF('Metric Form'!E30="","",'Metric Form'!E30-128.587)</f>
        <v/>
      </c>
      <c r="F25" s="178" t="str">
        <f>IF('Metric Form'!F30="","",'Metric Form'!F30-128.587)</f>
        <v/>
      </c>
      <c r="G25" s="15"/>
      <c r="H25" s="185"/>
      <c r="I25" s="182"/>
      <c r="J25" s="74" t="str">
        <f>IF('Metric Form'!J30="","",IF('Metric Form'!J30&gt;0,'Metric Form'!J30))</f>
        <v/>
      </c>
      <c r="K25" s="178" t="str">
        <f>IF('Metric Form'!K30="","",'Metric Form'!K30-128.587)</f>
        <v/>
      </c>
      <c r="L25" s="178" t="str">
        <f>IF('Metric Form'!L30="","",'Metric Form'!L30-128.587)</f>
        <v/>
      </c>
      <c r="M25" s="70"/>
      <c r="N25" s="15"/>
      <c r="O25" s="77" t="str">
        <f>IF('Metric Form'!O30="","",IF('Metric Form'!O30&gt;0,'Metric Form'!O30))</f>
        <v/>
      </c>
      <c r="P25" s="178" t="str">
        <f>IF('Metric Form'!P30="","",'Metric Form'!P30-128.587)</f>
        <v/>
      </c>
      <c r="Q25" s="179" t="str">
        <f>IF('Metric Form'!Q30="","",'Metric Form'!Q30-68.262)</f>
        <v/>
      </c>
      <c r="R25" s="18"/>
      <c r="S25" s="15"/>
      <c r="T25" s="17"/>
      <c r="U25" s="164">
        <v>7</v>
      </c>
      <c r="V25" s="167" t="e">
        <f t="shared" si="0"/>
        <v>#VALUE!</v>
      </c>
      <c r="W25" s="167" t="e">
        <f t="shared" si="1"/>
        <v>#VALUE!</v>
      </c>
      <c r="X25" s="167" t="e">
        <f t="shared" si="2"/>
        <v>#VALUE!</v>
      </c>
      <c r="Y25" s="168">
        <v>0</v>
      </c>
      <c r="Z25" s="169">
        <v>63.00390625</v>
      </c>
      <c r="AA25" s="169">
        <v>0</v>
      </c>
      <c r="AB25" s="169">
        <v>0</v>
      </c>
      <c r="AC25" s="168">
        <v>0</v>
      </c>
      <c r="AD25" s="169">
        <v>29.401822916666667</v>
      </c>
      <c r="AE25" s="169">
        <v>0</v>
      </c>
      <c r="AF25" s="169">
        <v>0</v>
      </c>
      <c r="AG25" s="169">
        <v>0</v>
      </c>
      <c r="AH25" s="18"/>
    </row>
    <row r="26" spans="1:34" ht="21" customHeight="1" thickBot="1" x14ac:dyDescent="0.25">
      <c r="A26" s="17"/>
      <c r="B26" s="181"/>
      <c r="C26" s="182"/>
      <c r="D26" s="74" t="str">
        <f>IF('Metric Form'!D31="","",IF('Metric Form'!D31&gt;0,'Metric Form'!D31))</f>
        <v/>
      </c>
      <c r="E26" s="178" t="str">
        <f>IF('Metric Form'!E31="","",'Metric Form'!E31-128.587)</f>
        <v/>
      </c>
      <c r="F26" s="178" t="str">
        <f>IF('Metric Form'!F31="","",'Metric Form'!F31-128.587)</f>
        <v/>
      </c>
      <c r="G26" s="15"/>
      <c r="H26" s="185"/>
      <c r="I26" s="182"/>
      <c r="J26" s="74" t="str">
        <f>IF('Metric Form'!J31="","",IF('Metric Form'!J31&gt;0,'Metric Form'!J31))</f>
        <v/>
      </c>
      <c r="K26" s="178" t="str">
        <f>IF('Metric Form'!K31="","",'Metric Form'!K31-128.587)</f>
        <v/>
      </c>
      <c r="L26" s="178" t="str">
        <f>IF('Metric Form'!L31="","",'Metric Form'!L31-128.587)</f>
        <v/>
      </c>
      <c r="M26" s="70"/>
      <c r="N26" s="15"/>
      <c r="O26" s="77" t="str">
        <f>IF('Metric Form'!O31="","",IF('Metric Form'!O31&gt;0,'Metric Form'!O31))</f>
        <v/>
      </c>
      <c r="P26" s="178" t="str">
        <f>IF('Metric Form'!P31="","",'Metric Form'!P31-128.587)</f>
        <v/>
      </c>
      <c r="Q26" s="179" t="str">
        <f>IF('Metric Form'!Q31="","",'Metric Form'!Q31-68.262)</f>
        <v/>
      </c>
      <c r="R26" s="18"/>
      <c r="S26" s="15"/>
      <c r="T26" s="17"/>
      <c r="U26" s="164">
        <v>8</v>
      </c>
      <c r="V26" s="167" t="e">
        <f t="shared" si="0"/>
        <v>#VALUE!</v>
      </c>
      <c r="W26" s="167" t="e">
        <f t="shared" si="1"/>
        <v>#VALUE!</v>
      </c>
      <c r="X26" s="167" t="e">
        <f t="shared" si="2"/>
        <v>#VALUE!</v>
      </c>
      <c r="Y26" s="168">
        <v>0</v>
      </c>
      <c r="Z26" s="169">
        <v>63.00390625</v>
      </c>
      <c r="AA26" s="169">
        <v>0</v>
      </c>
      <c r="AB26" s="169">
        <v>0</v>
      </c>
      <c r="AC26" s="168">
        <v>0</v>
      </c>
      <c r="AD26" s="169">
        <v>29.401822916666667</v>
      </c>
      <c r="AE26" s="169">
        <v>0</v>
      </c>
      <c r="AF26" s="169">
        <v>0</v>
      </c>
      <c r="AG26" s="169">
        <v>0</v>
      </c>
      <c r="AH26" s="18"/>
    </row>
    <row r="27" spans="1:34" ht="21" customHeight="1" thickBot="1" x14ac:dyDescent="0.25">
      <c r="A27" s="17"/>
      <c r="B27" s="181"/>
      <c r="C27" s="182"/>
      <c r="D27" s="74" t="str">
        <f>IF('Metric Form'!D32="","",IF('Metric Form'!D32&gt;0,'Metric Form'!D32))</f>
        <v/>
      </c>
      <c r="E27" s="178" t="str">
        <f>IF('Metric Form'!E32="","",'Metric Form'!E32-128.587)</f>
        <v/>
      </c>
      <c r="F27" s="178" t="str">
        <f>IF('Metric Form'!F32="","",'Metric Form'!F32-128.587)</f>
        <v/>
      </c>
      <c r="G27" s="15"/>
      <c r="H27" s="185"/>
      <c r="I27" s="182"/>
      <c r="J27" s="74" t="str">
        <f>IF('Metric Form'!J32="","",IF('Metric Form'!J32&gt;0,'Metric Form'!J32))</f>
        <v/>
      </c>
      <c r="K27" s="178" t="str">
        <f>IF('Metric Form'!K32="","",'Metric Form'!K32-128.587)</f>
        <v/>
      </c>
      <c r="L27" s="178" t="str">
        <f>IF('Metric Form'!L32="","",'Metric Form'!L32-128.587)</f>
        <v/>
      </c>
      <c r="M27" s="70"/>
      <c r="N27" s="15"/>
      <c r="O27" s="77" t="str">
        <f>IF('Metric Form'!O32="","",IF('Metric Form'!O32&gt;0,'Metric Form'!O32))</f>
        <v/>
      </c>
      <c r="P27" s="178" t="str">
        <f>IF('Metric Form'!P32="","",'Metric Form'!P32-128.587)</f>
        <v/>
      </c>
      <c r="Q27" s="179" t="str">
        <f>IF('Metric Form'!Q32="","",'Metric Form'!Q32-68.262)</f>
        <v/>
      </c>
      <c r="R27" s="18"/>
      <c r="S27" s="15"/>
      <c r="T27" s="17"/>
      <c r="U27" s="164">
        <v>9</v>
      </c>
      <c r="V27" s="167" t="e">
        <f t="shared" si="0"/>
        <v>#VALUE!</v>
      </c>
      <c r="W27" s="167" t="e">
        <f t="shared" si="1"/>
        <v>#VALUE!</v>
      </c>
      <c r="X27" s="167" t="e">
        <f t="shared" si="2"/>
        <v>#VALUE!</v>
      </c>
      <c r="Y27" s="168">
        <v>0</v>
      </c>
      <c r="Z27" s="169">
        <v>63.00390625</v>
      </c>
      <c r="AA27" s="169">
        <v>0</v>
      </c>
      <c r="AB27" s="169">
        <v>0</v>
      </c>
      <c r="AC27" s="168">
        <v>0</v>
      </c>
      <c r="AD27" s="169">
        <v>29.401822916666667</v>
      </c>
      <c r="AE27" s="169">
        <v>0</v>
      </c>
      <c r="AF27" s="169">
        <v>0</v>
      </c>
      <c r="AG27" s="169">
        <v>0</v>
      </c>
      <c r="AH27" s="18"/>
    </row>
    <row r="28" spans="1:34" ht="21" customHeight="1" thickBot="1" x14ac:dyDescent="0.25">
      <c r="A28" s="17"/>
      <c r="B28" s="181"/>
      <c r="C28" s="182"/>
      <c r="D28" s="74" t="str">
        <f>IF('Metric Form'!D33="","",IF('Metric Form'!D33&gt;0,'Metric Form'!D33))</f>
        <v/>
      </c>
      <c r="E28" s="178" t="str">
        <f>IF('Metric Form'!E33="","",'Metric Form'!E33-128.587)</f>
        <v/>
      </c>
      <c r="F28" s="178" t="str">
        <f>IF('Metric Form'!F33="","",'Metric Form'!F33-128.587)</f>
        <v/>
      </c>
      <c r="G28" s="15"/>
      <c r="H28" s="185"/>
      <c r="I28" s="182"/>
      <c r="J28" s="74" t="str">
        <f>IF('Metric Form'!J33="","",IF('Metric Form'!J33&gt;0,'Metric Form'!J33))</f>
        <v/>
      </c>
      <c r="K28" s="178" t="str">
        <f>IF('Metric Form'!K33="","",'Metric Form'!K33-128.587)</f>
        <v/>
      </c>
      <c r="L28" s="178" t="str">
        <f>IF('Metric Form'!L33="","",'Metric Form'!L33-128.587)</f>
        <v/>
      </c>
      <c r="M28" s="70"/>
      <c r="N28" s="15"/>
      <c r="O28" s="77" t="str">
        <f>IF('Metric Form'!O33="","",IF('Metric Form'!O33&gt;0,'Metric Form'!O33))</f>
        <v/>
      </c>
      <c r="P28" s="178" t="str">
        <f>IF('Metric Form'!P33="","",'Metric Form'!P33-128.587)</f>
        <v/>
      </c>
      <c r="Q28" s="179" t="str">
        <f>IF('Metric Form'!Q33="","",'Metric Form'!Q33-68.262)</f>
        <v/>
      </c>
      <c r="R28" s="18"/>
      <c r="S28" s="15"/>
      <c r="T28" s="17"/>
      <c r="U28" s="164">
        <v>10</v>
      </c>
      <c r="V28" s="167" t="e">
        <f t="shared" si="0"/>
        <v>#VALUE!</v>
      </c>
      <c r="W28" s="167" t="e">
        <f t="shared" si="1"/>
        <v>#VALUE!</v>
      </c>
      <c r="X28" s="167" t="e">
        <f t="shared" si="2"/>
        <v>#VALUE!</v>
      </c>
      <c r="Y28" s="168">
        <v>0</v>
      </c>
      <c r="Z28" s="169">
        <v>63.00390625</v>
      </c>
      <c r="AA28" s="169">
        <v>0</v>
      </c>
      <c r="AB28" s="169">
        <v>0</v>
      </c>
      <c r="AC28" s="168">
        <v>0</v>
      </c>
      <c r="AD28" s="169">
        <v>29.401822916666667</v>
      </c>
      <c r="AE28" s="169">
        <v>0</v>
      </c>
      <c r="AF28" s="169">
        <v>0</v>
      </c>
      <c r="AG28" s="169">
        <v>0</v>
      </c>
      <c r="AH28" s="18"/>
    </row>
    <row r="29" spans="1:34" ht="21" customHeight="1" thickBot="1" x14ac:dyDescent="0.25">
      <c r="A29" s="17"/>
      <c r="B29" s="181"/>
      <c r="C29" s="182"/>
      <c r="D29" s="74" t="str">
        <f>IF('Metric Form'!D34="","",IF('Metric Form'!D34&gt;0,'Metric Form'!D34))</f>
        <v/>
      </c>
      <c r="E29" s="178" t="str">
        <f>IF('Metric Form'!E34="","",'Metric Form'!E34-128.587)</f>
        <v/>
      </c>
      <c r="F29" s="178" t="str">
        <f>IF('Metric Form'!F34="","",'Metric Form'!F34-128.587)</f>
        <v/>
      </c>
      <c r="G29" s="15"/>
      <c r="H29" s="185"/>
      <c r="I29" s="182"/>
      <c r="J29" s="74" t="str">
        <f>IF('Metric Form'!J34="","",IF('Metric Form'!J34&gt;0,'Metric Form'!J34))</f>
        <v/>
      </c>
      <c r="K29" s="178" t="str">
        <f>IF('Metric Form'!K34="","",'Metric Form'!K34-128.587)</f>
        <v/>
      </c>
      <c r="L29" s="178" t="str">
        <f>IF('Metric Form'!L34="","",'Metric Form'!L34-128.587)</f>
        <v/>
      </c>
      <c r="M29" s="70"/>
      <c r="N29" s="15"/>
      <c r="O29" s="77" t="str">
        <f>IF('Metric Form'!O34="","",IF('Metric Form'!O34&gt;0,'Metric Form'!O34))</f>
        <v/>
      </c>
      <c r="P29" s="178" t="str">
        <f>IF('Metric Form'!P34="","",'Metric Form'!P34-128.587)</f>
        <v/>
      </c>
      <c r="Q29" s="179" t="str">
        <f>IF('Metric Form'!Q34="","",'Metric Form'!Q34-68.262)</f>
        <v/>
      </c>
      <c r="R29" s="18"/>
      <c r="S29" s="15"/>
      <c r="T29" s="17"/>
      <c r="U29" s="164">
        <v>11</v>
      </c>
      <c r="V29" s="167" t="e">
        <f t="shared" si="0"/>
        <v>#VALUE!</v>
      </c>
      <c r="W29" s="167" t="e">
        <f t="shared" si="1"/>
        <v>#VALUE!</v>
      </c>
      <c r="X29" s="167" t="e">
        <f t="shared" si="2"/>
        <v>#VALUE!</v>
      </c>
      <c r="Y29" s="168">
        <v>0</v>
      </c>
      <c r="Z29" s="169">
        <v>63.00390625</v>
      </c>
      <c r="AA29" s="169">
        <v>0</v>
      </c>
      <c r="AB29" s="169">
        <v>0</v>
      </c>
      <c r="AC29" s="168">
        <v>0</v>
      </c>
      <c r="AD29" s="169">
        <v>29.401822916666667</v>
      </c>
      <c r="AE29" s="169">
        <v>0</v>
      </c>
      <c r="AF29" s="169">
        <v>0</v>
      </c>
      <c r="AG29" s="169">
        <v>0</v>
      </c>
      <c r="AH29" s="18"/>
    </row>
    <row r="30" spans="1:34" ht="21" customHeight="1" thickBot="1" x14ac:dyDescent="0.25">
      <c r="A30" s="17"/>
      <c r="B30" s="181"/>
      <c r="C30" s="182"/>
      <c r="D30" s="74" t="str">
        <f>IF('Metric Form'!D35="","",IF('Metric Form'!D35&gt;0,'Metric Form'!D35))</f>
        <v/>
      </c>
      <c r="E30" s="178" t="str">
        <f>IF('Metric Form'!E35="","",'Metric Form'!E35-128.587)</f>
        <v/>
      </c>
      <c r="F30" s="178" t="str">
        <f>IF('Metric Form'!F35="","",'Metric Form'!F35-128.587)</f>
        <v/>
      </c>
      <c r="G30" s="15"/>
      <c r="H30" s="185"/>
      <c r="I30" s="182"/>
      <c r="J30" s="74" t="str">
        <f>IF('Metric Form'!J35="","",IF('Metric Form'!J35&gt;0,'Metric Form'!J35))</f>
        <v/>
      </c>
      <c r="K30" s="178" t="str">
        <f>IF('Metric Form'!K35="","",'Metric Form'!K35-128.587)</f>
        <v/>
      </c>
      <c r="L30" s="178" t="str">
        <f>IF('Metric Form'!L35="","",'Metric Form'!L35-128.587)</f>
        <v/>
      </c>
      <c r="M30" s="70"/>
      <c r="N30" s="15"/>
      <c r="O30" s="77" t="str">
        <f>IF('Metric Form'!O35="","",IF('Metric Form'!O35&gt;0,'Metric Form'!O35))</f>
        <v/>
      </c>
      <c r="P30" s="178" t="str">
        <f>IF('Metric Form'!P35="","",'Metric Form'!P35-128.587)</f>
        <v/>
      </c>
      <c r="Q30" s="179" t="str">
        <f>IF('Metric Form'!Q35="","",'Metric Form'!Q35-68.262)</f>
        <v/>
      </c>
      <c r="R30" s="18"/>
      <c r="S30" s="15"/>
      <c r="T30" s="17"/>
      <c r="U30" s="164">
        <v>12</v>
      </c>
      <c r="V30" s="167" t="e">
        <f t="shared" si="0"/>
        <v>#VALUE!</v>
      </c>
      <c r="W30" s="167" t="e">
        <f t="shared" si="1"/>
        <v>#VALUE!</v>
      </c>
      <c r="X30" s="167" t="e">
        <f t="shared" si="2"/>
        <v>#VALUE!</v>
      </c>
      <c r="Y30" s="168">
        <v>0</v>
      </c>
      <c r="Z30" s="169">
        <v>63.00390625</v>
      </c>
      <c r="AA30" s="169">
        <v>0</v>
      </c>
      <c r="AB30" s="169">
        <v>0</v>
      </c>
      <c r="AC30" s="168">
        <v>0</v>
      </c>
      <c r="AD30" s="169">
        <v>29.401822916666667</v>
      </c>
      <c r="AE30" s="169">
        <v>0</v>
      </c>
      <c r="AF30" s="169">
        <v>0</v>
      </c>
      <c r="AG30" s="169">
        <v>0</v>
      </c>
      <c r="AH30" s="18"/>
    </row>
    <row r="31" spans="1:34" ht="21" customHeight="1" thickBot="1" x14ac:dyDescent="0.25">
      <c r="A31" s="17"/>
      <c r="B31" s="181"/>
      <c r="C31" s="182"/>
      <c r="D31" s="74" t="str">
        <f>IF('Metric Form'!D36="","",IF('Metric Form'!D36&gt;0,'Metric Form'!D36))</f>
        <v/>
      </c>
      <c r="E31" s="178" t="str">
        <f>IF('Metric Form'!E36="","",'Metric Form'!E36-128.587)</f>
        <v/>
      </c>
      <c r="F31" s="178" t="str">
        <f>IF('Metric Form'!F36="","",'Metric Form'!F36-128.587)</f>
        <v/>
      </c>
      <c r="G31" s="15"/>
      <c r="H31" s="185"/>
      <c r="I31" s="182"/>
      <c r="J31" s="74" t="str">
        <f>IF('Metric Form'!J36="","",IF('Metric Form'!J36&gt;0,'Metric Form'!J36))</f>
        <v/>
      </c>
      <c r="K31" s="178" t="str">
        <f>IF('Metric Form'!K36="","",'Metric Form'!K36-128.587)</f>
        <v/>
      </c>
      <c r="L31" s="178" t="str">
        <f>IF('Metric Form'!L36="","",'Metric Form'!L36-128.587)</f>
        <v/>
      </c>
      <c r="M31" s="70"/>
      <c r="N31" s="15"/>
      <c r="O31" s="77" t="str">
        <f>IF('Metric Form'!O36="","",IF('Metric Form'!O36&gt;0,'Metric Form'!O36))</f>
        <v/>
      </c>
      <c r="P31" s="178" t="str">
        <f>IF('Metric Form'!P36="","",'Metric Form'!P36-128.587)</f>
        <v/>
      </c>
      <c r="Q31" s="179" t="str">
        <f>IF('Metric Form'!Q36="","",'Metric Form'!Q36-68.262)</f>
        <v/>
      </c>
      <c r="R31" s="18"/>
      <c r="S31" s="15"/>
      <c r="T31" s="17"/>
      <c r="U31" s="164">
        <v>13</v>
      </c>
      <c r="V31" s="167" t="e">
        <f t="shared" si="0"/>
        <v>#VALUE!</v>
      </c>
      <c r="W31" s="167" t="e">
        <f t="shared" si="1"/>
        <v>#VALUE!</v>
      </c>
      <c r="X31" s="167" t="e">
        <f t="shared" si="2"/>
        <v>#VALUE!</v>
      </c>
      <c r="Y31" s="168">
        <v>0</v>
      </c>
      <c r="Z31" s="169">
        <v>63.00390625</v>
      </c>
      <c r="AA31" s="169">
        <v>0</v>
      </c>
      <c r="AB31" s="169">
        <v>0</v>
      </c>
      <c r="AC31" s="168">
        <v>0</v>
      </c>
      <c r="AD31" s="169">
        <v>29.401822916666667</v>
      </c>
      <c r="AE31" s="169">
        <v>0</v>
      </c>
      <c r="AF31" s="169">
        <v>0</v>
      </c>
      <c r="AG31" s="169">
        <v>0</v>
      </c>
      <c r="AH31" s="18"/>
    </row>
    <row r="32" spans="1:34" ht="21" customHeight="1" thickBot="1" x14ac:dyDescent="0.25">
      <c r="A32" s="17"/>
      <c r="B32" s="181"/>
      <c r="C32" s="182"/>
      <c r="D32" s="74" t="str">
        <f>IF('Metric Form'!D37="","",IF('Metric Form'!D37&gt;0,'Metric Form'!D37))</f>
        <v/>
      </c>
      <c r="E32" s="178" t="str">
        <f>IF('Metric Form'!E37="","",'Metric Form'!E37-128.587)</f>
        <v/>
      </c>
      <c r="F32" s="178" t="str">
        <f>IF('Metric Form'!F37="","",'Metric Form'!F37-128.587)</f>
        <v/>
      </c>
      <c r="G32" s="15"/>
      <c r="H32" s="185"/>
      <c r="I32" s="182"/>
      <c r="J32" s="74" t="str">
        <f>IF('Metric Form'!J37="","",IF('Metric Form'!J37&gt;0,'Metric Form'!J37))</f>
        <v/>
      </c>
      <c r="K32" s="178" t="str">
        <f>IF('Metric Form'!K37="","",'Metric Form'!K37-128.587)</f>
        <v/>
      </c>
      <c r="L32" s="178" t="str">
        <f>IF('Metric Form'!L37="","",'Metric Form'!L37-128.587)</f>
        <v/>
      </c>
      <c r="M32" s="70"/>
      <c r="N32" s="15"/>
      <c r="O32" s="77" t="str">
        <f>IF('Metric Form'!O37="","",IF('Metric Form'!O37&gt;0,'Metric Form'!O37))</f>
        <v/>
      </c>
      <c r="P32" s="178" t="str">
        <f>IF('Metric Form'!P37="","",'Metric Form'!P37-128.587)</f>
        <v/>
      </c>
      <c r="Q32" s="179" t="str">
        <f>IF('Metric Form'!Q37="","",'Metric Form'!Q37-68.262)</f>
        <v/>
      </c>
      <c r="R32" s="18"/>
      <c r="S32" s="15"/>
      <c r="T32" s="17"/>
      <c r="U32" s="164">
        <v>14</v>
      </c>
      <c r="V32" s="167" t="e">
        <f t="shared" si="0"/>
        <v>#VALUE!</v>
      </c>
      <c r="W32" s="167" t="e">
        <f t="shared" si="1"/>
        <v>#VALUE!</v>
      </c>
      <c r="X32" s="167" t="e">
        <f t="shared" si="2"/>
        <v>#VALUE!</v>
      </c>
      <c r="Y32" s="168">
        <v>0</v>
      </c>
      <c r="Z32" s="169">
        <v>63.00390625</v>
      </c>
      <c r="AA32" s="169">
        <v>0</v>
      </c>
      <c r="AB32" s="169">
        <v>0</v>
      </c>
      <c r="AC32" s="168">
        <v>0</v>
      </c>
      <c r="AD32" s="169">
        <v>29.401822916666667</v>
      </c>
      <c r="AE32" s="169">
        <v>0</v>
      </c>
      <c r="AF32" s="169">
        <v>0</v>
      </c>
      <c r="AG32" s="169">
        <v>0</v>
      </c>
      <c r="AH32" s="18"/>
    </row>
    <row r="33" spans="1:34" ht="21" customHeight="1" thickBot="1" x14ac:dyDescent="0.25">
      <c r="A33" s="82"/>
      <c r="B33" s="186"/>
      <c r="C33" s="187"/>
      <c r="D33" s="85" t="str">
        <f>IF('Metric Form'!D38="","",IF('Metric Form'!D38&gt;0,'Metric Form'!D38))</f>
        <v/>
      </c>
      <c r="E33" s="178" t="str">
        <f>IF('Metric Form'!E38="","",'Metric Form'!E38-128.587)</f>
        <v/>
      </c>
      <c r="F33" s="178" t="str">
        <f>IF('Metric Form'!F38="","",'Metric Form'!F38-128.587)</f>
        <v/>
      </c>
      <c r="G33" s="15"/>
      <c r="H33" s="190"/>
      <c r="I33" s="187"/>
      <c r="J33" s="85" t="str">
        <f>IF('Metric Form'!J38="","",IF('Metric Form'!J38&gt;0,'Metric Form'!J38))</f>
        <v/>
      </c>
      <c r="K33" s="178" t="str">
        <f>IF('Metric Form'!K38="","",'Metric Form'!K38-128.587)</f>
        <v/>
      </c>
      <c r="L33" s="178" t="str">
        <f>IF('Metric Form'!L38="","",'Metric Form'!L38-128.587)</f>
        <v/>
      </c>
      <c r="M33" s="70"/>
      <c r="N33" s="15"/>
      <c r="O33" s="89" t="str">
        <f>IF('Metric Form'!O38="","",IF('Metric Form'!O38&gt;0,'Metric Form'!O38))</f>
        <v/>
      </c>
      <c r="P33" s="178" t="str">
        <f>IF('Metric Form'!P38="","",'Metric Form'!P38-128.587)</f>
        <v/>
      </c>
      <c r="Q33" s="179" t="str">
        <f>IF('Metric Form'!Q38="","",'Metric Form'!Q38-68.262)</f>
        <v/>
      </c>
      <c r="R33" s="18"/>
      <c r="S33" s="15"/>
      <c r="T33" s="17"/>
      <c r="U33" s="164">
        <v>15</v>
      </c>
      <c r="V33" s="167" t="e">
        <f t="shared" si="0"/>
        <v>#VALUE!</v>
      </c>
      <c r="W33" s="167" t="e">
        <f t="shared" si="1"/>
        <v>#VALUE!</v>
      </c>
      <c r="X33" s="167" t="e">
        <f t="shared" si="2"/>
        <v>#VALUE!</v>
      </c>
      <c r="Y33" s="168">
        <v>0</v>
      </c>
      <c r="Z33" s="169">
        <v>63.00390625</v>
      </c>
      <c r="AA33" s="169">
        <v>0</v>
      </c>
      <c r="AB33" s="169">
        <v>0</v>
      </c>
      <c r="AC33" s="168">
        <v>0</v>
      </c>
      <c r="AD33" s="169">
        <v>29.401822916666667</v>
      </c>
      <c r="AE33" s="169">
        <v>0</v>
      </c>
      <c r="AF33" s="169">
        <v>0</v>
      </c>
      <c r="AG33" s="169">
        <v>0</v>
      </c>
      <c r="AH33" s="18"/>
    </row>
    <row r="34" spans="1:34" ht="18" customHeight="1" thickBot="1" x14ac:dyDescent="0.2">
      <c r="A34" s="17"/>
      <c r="B34" s="25"/>
      <c r="C34" s="15"/>
      <c r="D34" s="90">
        <v>0</v>
      </c>
      <c r="E34" s="91"/>
      <c r="F34" s="91"/>
      <c r="G34" s="15"/>
      <c r="H34" s="25"/>
      <c r="I34" s="15"/>
      <c r="J34" s="90">
        <v>0</v>
      </c>
      <c r="K34" s="91"/>
      <c r="L34" s="91"/>
      <c r="M34" s="15"/>
      <c r="N34" s="15"/>
      <c r="O34" s="92"/>
      <c r="P34" s="91"/>
      <c r="Q34" s="91"/>
      <c r="R34" s="18"/>
      <c r="S34" s="15"/>
      <c r="T34" s="17"/>
      <c r="U34" s="164"/>
      <c r="V34" s="15"/>
      <c r="W34" s="15"/>
      <c r="X34" s="15"/>
      <c r="Y34" s="191">
        <v>0</v>
      </c>
      <c r="Z34" s="192"/>
      <c r="AA34" s="192"/>
      <c r="AB34" s="192"/>
      <c r="AC34" s="191">
        <v>0</v>
      </c>
      <c r="AD34" s="192"/>
      <c r="AE34" s="192"/>
      <c r="AF34" s="192"/>
      <c r="AG34" s="191">
        <v>0</v>
      </c>
      <c r="AH34" s="18"/>
    </row>
    <row r="35" spans="1:34" ht="18" customHeight="1" x14ac:dyDescent="0.15">
      <c r="A35" s="17"/>
      <c r="B35"/>
      <c r="C35"/>
      <c r="D35"/>
      <c r="E35"/>
      <c r="F35"/>
      <c r="G35"/>
      <c r="H35" s="15"/>
      <c r="I35"/>
      <c r="J35"/>
      <c r="K35"/>
      <c r="L35"/>
      <c r="M35" s="21"/>
      <c r="N35"/>
      <c r="O35" s="324" t="s">
        <v>126</v>
      </c>
      <c r="P35" s="349"/>
      <c r="Q35" s="350"/>
      <c r="R35" s="18"/>
      <c r="S35" s="15"/>
      <c r="T35" s="17"/>
      <c r="U35" s="164"/>
      <c r="V35" s="15"/>
      <c r="W35" s="15"/>
      <c r="X35" s="15"/>
      <c r="Y35" s="169"/>
      <c r="Z35" s="170"/>
      <c r="AA35" s="170"/>
      <c r="AB35" s="170"/>
      <c r="AC35" s="169"/>
      <c r="AD35" s="170"/>
      <c r="AE35" s="170"/>
      <c r="AF35" s="170"/>
      <c r="AG35" s="169"/>
      <c r="AH35" s="18"/>
    </row>
    <row r="36" spans="1:34" ht="18" customHeight="1" x14ac:dyDescent="0.2">
      <c r="A36" s="17"/>
      <c r="B36"/>
      <c r="C36"/>
      <c r="D36"/>
      <c r="E36"/>
      <c r="F36"/>
      <c r="G36"/>
      <c r="H36" s="15"/>
      <c r="I36"/>
      <c r="J36"/>
      <c r="K36"/>
      <c r="L36"/>
      <c r="M36" s="21"/>
      <c r="N36"/>
      <c r="O36" s="412" t="s">
        <v>128</v>
      </c>
      <c r="P36" s="413"/>
      <c r="Q36" s="96">
        <f>D34+J34</f>
        <v>0</v>
      </c>
      <c r="R36" s="18"/>
      <c r="S36" s="15"/>
      <c r="T36" s="17"/>
      <c r="U36" s="164"/>
      <c r="V36" s="15"/>
      <c r="W36" s="15"/>
      <c r="X36" s="15"/>
      <c r="Y36" s="170" t="s">
        <v>163</v>
      </c>
      <c r="Z36" s="170"/>
      <c r="AA36" s="170"/>
      <c r="AB36" s="170"/>
      <c r="AC36" s="191" t="e">
        <v>#REF!</v>
      </c>
      <c r="AD36" s="170"/>
      <c r="AE36" s="170"/>
      <c r="AF36" s="170"/>
      <c r="AG36" s="170"/>
      <c r="AH36" s="18"/>
    </row>
    <row r="37" spans="1:34" ht="18" customHeight="1" thickBot="1" x14ac:dyDescent="0.25">
      <c r="A37" s="17"/>
      <c r="B37"/>
      <c r="C37"/>
      <c r="D37"/>
      <c r="E37"/>
      <c r="F37"/>
      <c r="G37"/>
      <c r="H37" s="15"/>
      <c r="I37"/>
      <c r="J37"/>
      <c r="K37"/>
      <c r="L37"/>
      <c r="M37" s="115"/>
      <c r="N37"/>
      <c r="O37" s="408" t="s">
        <v>130</v>
      </c>
      <c r="P37" s="409"/>
      <c r="Q37" s="116">
        <f>O34</f>
        <v>0</v>
      </c>
      <c r="R37" s="18"/>
      <c r="S37" s="15"/>
      <c r="T37" s="17"/>
      <c r="U37" s="164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8"/>
    </row>
    <row r="38" spans="1:34" ht="18" customHeight="1" x14ac:dyDescent="0.15">
      <c r="A38" s="17"/>
      <c r="B38" s="2"/>
      <c r="C38"/>
      <c r="D38"/>
      <c r="E38"/>
      <c r="F38"/>
      <c r="G38"/>
      <c r="H38" s="15"/>
      <c r="I38"/>
      <c r="J38"/>
      <c r="K38"/>
      <c r="L38"/>
      <c r="M38" s="115"/>
      <c r="N38"/>
      <c r="O38"/>
      <c r="P38"/>
      <c r="Q38"/>
      <c r="R38" s="18"/>
      <c r="S38" s="15"/>
      <c r="T38" s="17"/>
      <c r="U38" s="164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8"/>
    </row>
    <row r="39" spans="1:34" ht="18" customHeight="1" thickBot="1" x14ac:dyDescent="0.25">
      <c r="A39" s="17"/>
      <c r="B39" s="2"/>
      <c r="C39"/>
      <c r="D39"/>
      <c r="E39"/>
      <c r="F39"/>
      <c r="G39"/>
      <c r="H39" s="15"/>
      <c r="I39"/>
      <c r="J39"/>
      <c r="K39"/>
      <c r="L39"/>
      <c r="M39" s="139"/>
      <c r="N39"/>
      <c r="O39" s="124" t="s">
        <v>138</v>
      </c>
      <c r="R39" s="18"/>
      <c r="S39" s="15"/>
      <c r="T39" s="17"/>
      <c r="U39" s="164"/>
      <c r="V39" s="167" t="e">
        <f>#REF!*#REF!/144</f>
        <v>#REF!</v>
      </c>
      <c r="W39" s="167" t="e">
        <f>IF(#REF!=0,0,IF(#REF!*#REF!/144&lt;1,1,#REF!*#REF!/144))</f>
        <v>#REF!</v>
      </c>
      <c r="X39" s="167" t="e">
        <f>$W39*#REF!</f>
        <v>#REF!</v>
      </c>
      <c r="Y39" s="168" t="e">
        <v>#REF!</v>
      </c>
      <c r="Z39" s="169" t="e">
        <v>#REF!</v>
      </c>
      <c r="AA39" s="169" t="e">
        <v>#REF!</v>
      </c>
      <c r="AB39" s="169" t="e">
        <v>#REF!</v>
      </c>
      <c r="AC39" s="169" t="e">
        <v>#REF!</v>
      </c>
      <c r="AD39" s="15"/>
      <c r="AE39" s="15"/>
      <c r="AF39" s="15"/>
      <c r="AG39" s="15"/>
      <c r="AH39" s="18"/>
    </row>
    <row r="40" spans="1:34" ht="18" customHeight="1" thickBot="1" x14ac:dyDescent="0.25">
      <c r="A40" s="165"/>
      <c r="B40" s="2"/>
      <c r="C40"/>
      <c r="D40"/>
      <c r="E40"/>
      <c r="F40"/>
      <c r="G40"/>
      <c r="H40" s="15"/>
      <c r="I40"/>
      <c r="J40"/>
      <c r="K40"/>
      <c r="L40"/>
      <c r="M40" s="139"/>
      <c r="N40"/>
      <c r="O40" s="410" t="s">
        <v>139</v>
      </c>
      <c r="P40" s="411"/>
      <c r="Q40" s="126">
        <f>SUM(Q36:Q37)</f>
        <v>0</v>
      </c>
      <c r="R40" s="18"/>
      <c r="S40" s="15"/>
      <c r="T40" s="17"/>
      <c r="V40" s="167" t="e">
        <f>#REF!*#REF!/144</f>
        <v>#REF!</v>
      </c>
      <c r="W40" s="167" t="e">
        <f>IF(#REF!=0,0,IF(#REF!*#REF!/144&lt;1,1,#REF!*#REF!/144))</f>
        <v>#REF!</v>
      </c>
      <c r="X40" s="167" t="e">
        <f>$W40*#REF!</f>
        <v>#REF!</v>
      </c>
      <c r="Y40" s="168" t="e">
        <v>#REF!</v>
      </c>
      <c r="AC40" s="193" t="e">
        <f>SUM(AC39:AC39)</f>
        <v>#REF!</v>
      </c>
      <c r="AH40" s="18"/>
    </row>
    <row r="41" spans="1:34" ht="18" customHeight="1" x14ac:dyDescent="0.15">
      <c r="A41" s="17"/>
      <c r="B41" s="2"/>
      <c r="C41"/>
      <c r="D41"/>
      <c r="E41"/>
      <c r="F41"/>
      <c r="G41"/>
      <c r="H41" s="15"/>
      <c r="I41"/>
      <c r="J41"/>
      <c r="K41"/>
      <c r="L41"/>
      <c r="M41" s="139"/>
      <c r="N41"/>
      <c r="O41"/>
      <c r="P41"/>
      <c r="Q41"/>
      <c r="R41" s="18"/>
      <c r="S41" s="15"/>
      <c r="T41" s="17"/>
      <c r="V41" s="167" t="e">
        <f>#REF!*#REF!/144</f>
        <v>#REF!</v>
      </c>
      <c r="W41" s="167" t="e">
        <f>IF(#REF!=0,0,IF(#REF!*#REF!/144&lt;1,1,#REF!*#REF!/144))</f>
        <v>#REF!</v>
      </c>
      <c r="X41" s="167" t="e">
        <f>$W41*#REF!</f>
        <v>#REF!</v>
      </c>
      <c r="Y41" s="168" t="e">
        <v>#REF!</v>
      </c>
      <c r="Z41" s="169"/>
      <c r="AA41" s="169"/>
      <c r="AB41" s="169"/>
      <c r="AC41" s="169"/>
      <c r="AH41" s="18"/>
    </row>
    <row r="42" spans="1:34" ht="18" customHeight="1" x14ac:dyDescent="0.15">
      <c r="A42" s="17"/>
      <c r="B42" s="15"/>
      <c r="C42" s="15"/>
      <c r="D42" s="92"/>
      <c r="E42" s="91"/>
      <c r="F42" s="91"/>
      <c r="G42" s="139"/>
      <c r="H42" s="15"/>
      <c r="I42"/>
      <c r="J42"/>
      <c r="K42"/>
      <c r="L42"/>
      <c r="M42" s="15"/>
      <c r="N42"/>
      <c r="O42"/>
      <c r="P42"/>
      <c r="Q42"/>
      <c r="R42" s="18"/>
      <c r="S42" s="15"/>
      <c r="T42" s="17"/>
      <c r="U42" s="164"/>
      <c r="V42" s="167">
        <f>E40*F40/144</f>
        <v>0</v>
      </c>
      <c r="W42" s="167">
        <f>IF(D40=0,0,IF(E40*F40/144&lt;1,1,E40*F40/144))</f>
        <v>0</v>
      </c>
      <c r="X42" s="167">
        <f>$W42*$D40</f>
        <v>0</v>
      </c>
      <c r="Y42" s="168">
        <v>0</v>
      </c>
      <c r="Z42" s="169">
        <v>0</v>
      </c>
      <c r="AA42" s="169">
        <v>0</v>
      </c>
      <c r="AB42" s="169">
        <v>0</v>
      </c>
      <c r="AC42" s="169">
        <v>0</v>
      </c>
      <c r="AD42" s="15"/>
      <c r="AE42" s="15"/>
      <c r="AF42" s="15"/>
      <c r="AG42" s="15"/>
      <c r="AH42" s="18"/>
    </row>
    <row r="43" spans="1:34" ht="18" customHeight="1" x14ac:dyDescent="0.15">
      <c r="A43" s="104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62" t="s">
        <v>65</v>
      </c>
      <c r="R43" s="145"/>
      <c r="S43" s="15"/>
    </row>
  </sheetData>
  <sheetProtection password="C41E" sheet="1" objects="1" scenarios="1"/>
  <mergeCells count="29">
    <mergeCell ref="B2:E2"/>
    <mergeCell ref="B3:E3"/>
    <mergeCell ref="B8:C8"/>
    <mergeCell ref="D8:F8"/>
    <mergeCell ref="P8:Q8"/>
    <mergeCell ref="B4:E4"/>
    <mergeCell ref="B5:E5"/>
    <mergeCell ref="B10:C10"/>
    <mergeCell ref="D10:F10"/>
    <mergeCell ref="L10:O10"/>
    <mergeCell ref="P10:Q10"/>
    <mergeCell ref="B12:C12"/>
    <mergeCell ref="D12:F12"/>
    <mergeCell ref="L12:M12"/>
    <mergeCell ref="N12:Q12"/>
    <mergeCell ref="B15:F15"/>
    <mergeCell ref="H15:L15"/>
    <mergeCell ref="O15:Q15"/>
    <mergeCell ref="B16:D16"/>
    <mergeCell ref="E16:F16"/>
    <mergeCell ref="H16:J16"/>
    <mergeCell ref="K16:L16"/>
    <mergeCell ref="O16:P16"/>
    <mergeCell ref="O37:P37"/>
    <mergeCell ref="O40:P40"/>
    <mergeCell ref="B17:C17"/>
    <mergeCell ref="H17:I17"/>
    <mergeCell ref="O35:Q35"/>
    <mergeCell ref="O36:P36"/>
  </mergeCells>
  <phoneticPr fontId="0" type="noConversion"/>
  <printOptions horizontalCentered="1"/>
  <pageMargins left="0.39370078740157483" right="0.39370078740157483" top="1.1811023622047245" bottom="0.98425196850393704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43"/>
  <sheetViews>
    <sheetView showGridLines="0" showRuler="0" zoomScale="75" workbookViewId="0">
      <selection activeCell="B5" sqref="B5:E5"/>
    </sheetView>
  </sheetViews>
  <sheetFormatPr baseColWidth="10" defaultColWidth="8.83203125" defaultRowHeight="13" x14ac:dyDescent="0.15"/>
  <cols>
    <col min="1" max="1" width="1.33203125" style="16" customWidth="1"/>
    <col min="2" max="3" width="6.5" style="16" customWidth="1"/>
    <col min="4" max="4" width="8.6640625" style="16" customWidth="1"/>
    <col min="5" max="6" width="14.6640625" style="16" customWidth="1"/>
    <col min="7" max="7" width="6.83203125" style="16" customWidth="1"/>
    <col min="8" max="9" width="6.6640625" style="16" customWidth="1"/>
    <col min="10" max="10" width="8.6640625" style="16" customWidth="1"/>
    <col min="11" max="12" width="14.6640625" style="16" customWidth="1"/>
    <col min="13" max="13" width="1.83203125" style="16" customWidth="1"/>
    <col min="14" max="14" width="8.5" style="16" customWidth="1"/>
    <col min="15" max="15" width="8.6640625" style="16" customWidth="1"/>
    <col min="16" max="17" width="14.6640625" style="16" customWidth="1"/>
    <col min="18" max="18" width="1.33203125" style="16" customWidth="1"/>
    <col min="19" max="19" width="5.5" style="16" customWidth="1"/>
    <col min="20" max="20" width="9.1640625" style="16" hidden="1" customWidth="1"/>
    <col min="21" max="21" width="5" style="171" hidden="1" customWidth="1"/>
    <col min="22" max="22" width="4" style="16" hidden="1" customWidth="1"/>
    <col min="23" max="23" width="4.6640625" style="16" hidden="1" customWidth="1"/>
    <col min="24" max="24" width="5.1640625" style="16" hidden="1" customWidth="1"/>
    <col min="25" max="25" width="8" style="16" hidden="1" customWidth="1"/>
    <col min="26" max="26" width="3.6640625" style="16" hidden="1" customWidth="1"/>
    <col min="27" max="27" width="6.5" style="16" hidden="1" customWidth="1"/>
    <col min="28" max="28" width="3.6640625" style="16" hidden="1" customWidth="1"/>
    <col min="29" max="29" width="8.1640625" style="16" hidden="1" customWidth="1"/>
    <col min="30" max="30" width="5.5" style="16" hidden="1" customWidth="1"/>
    <col min="31" max="31" width="6" style="16" hidden="1" customWidth="1"/>
    <col min="32" max="32" width="6.1640625" style="16" hidden="1" customWidth="1"/>
    <col min="33" max="33" width="8.5" style="16" hidden="1" customWidth="1"/>
    <col min="34" max="34" width="6.33203125" style="16" hidden="1" customWidth="1"/>
    <col min="35" max="36" width="6.1640625" style="16" customWidth="1"/>
    <col min="37" max="37" width="5.1640625" style="16" customWidth="1"/>
    <col min="38" max="38" width="6.83203125" style="16" customWidth="1"/>
    <col min="39" max="39" width="6.5" style="16" customWidth="1"/>
    <col min="40" max="40" width="16" style="16" customWidth="1"/>
    <col min="41" max="16384" width="8.83203125" style="16"/>
  </cols>
  <sheetData>
    <row r="1" spans="1:34" ht="15" customHeight="1" thickBot="1" x14ac:dyDescent="0.2">
      <c r="A1" s="11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4"/>
      <c r="S1" s="15"/>
    </row>
    <row r="2" spans="1:34" ht="15" customHeight="1" x14ac:dyDescent="0.2">
      <c r="A2" s="17"/>
      <c r="B2" s="417" t="s">
        <v>171</v>
      </c>
      <c r="C2" s="418"/>
      <c r="D2" s="418"/>
      <c r="E2" s="419"/>
      <c r="F2" s="15"/>
      <c r="G2" s="15"/>
      <c r="H2" s="15"/>
      <c r="I2" s="15"/>
      <c r="J2" s="15"/>
      <c r="K2" s="15"/>
      <c r="L2" s="15"/>
      <c r="M2" s="15"/>
      <c r="N2" s="15"/>
      <c r="O2"/>
      <c r="P2"/>
      <c r="Q2"/>
      <c r="R2" s="18"/>
      <c r="S2" s="15"/>
    </row>
    <row r="3" spans="1:34" ht="15" customHeight="1" thickBot="1" x14ac:dyDescent="0.25">
      <c r="A3" s="17"/>
      <c r="B3" s="420" t="s">
        <v>172</v>
      </c>
      <c r="C3" s="421"/>
      <c r="D3" s="421"/>
      <c r="E3" s="422"/>
      <c r="F3" s="15"/>
      <c r="G3" s="15"/>
      <c r="H3" s="15"/>
      <c r="I3" s="15"/>
      <c r="J3" s="15"/>
      <c r="K3" s="15"/>
      <c r="L3" s="15"/>
      <c r="M3" s="15"/>
      <c r="N3" s="15"/>
      <c r="O3"/>
      <c r="P3"/>
      <c r="Q3"/>
      <c r="R3" s="18"/>
      <c r="S3" s="15"/>
    </row>
    <row r="4" spans="1:34" ht="15" customHeight="1" x14ac:dyDescent="0.15">
      <c r="A4" s="17"/>
      <c r="B4" s="425" t="s">
        <v>331</v>
      </c>
      <c r="C4" s="426"/>
      <c r="D4" s="426"/>
      <c r="E4" s="427"/>
      <c r="F4" s="15"/>
      <c r="G4" s="15"/>
      <c r="H4" s="15"/>
      <c r="I4" s="15"/>
      <c r="J4" s="15"/>
      <c r="K4" s="15"/>
      <c r="L4" s="15"/>
      <c r="M4" s="15"/>
      <c r="N4" s="15"/>
      <c r="O4"/>
      <c r="P4"/>
      <c r="Q4"/>
      <c r="R4" s="18"/>
      <c r="S4" s="15"/>
    </row>
    <row r="5" spans="1:34" ht="17" customHeight="1" thickBot="1" x14ac:dyDescent="0.25">
      <c r="A5" s="17"/>
      <c r="B5" s="395">
        <f>'Metric Form'!B5</f>
        <v>0</v>
      </c>
      <c r="C5" s="396"/>
      <c r="D5" s="396"/>
      <c r="E5" s="397"/>
      <c r="F5" s="15"/>
      <c r="G5" s="15"/>
      <c r="H5" s="15"/>
      <c r="I5" s="15"/>
      <c r="J5" s="15"/>
      <c r="K5" s="15"/>
      <c r="L5" s="15"/>
      <c r="M5" s="15"/>
      <c r="N5" s="15"/>
      <c r="O5"/>
      <c r="P5"/>
      <c r="Q5"/>
      <c r="R5" s="18"/>
      <c r="S5" s="15"/>
    </row>
    <row r="6" spans="1:34" ht="15" customHeight="1" x14ac:dyDescent="0.15">
      <c r="A6" s="17"/>
      <c r="B6" s="19"/>
      <c r="C6" s="19"/>
      <c r="D6" s="19"/>
      <c r="E6" s="19"/>
      <c r="F6" s="15"/>
      <c r="G6" s="15"/>
      <c r="H6" s="15"/>
      <c r="I6" s="15"/>
      <c r="J6" s="15"/>
      <c r="K6" s="15"/>
      <c r="L6" s="15"/>
      <c r="M6" s="15"/>
      <c r="N6" s="15"/>
      <c r="O6"/>
      <c r="P6"/>
      <c r="Q6"/>
      <c r="R6" s="18"/>
      <c r="S6" s="15"/>
    </row>
    <row r="7" spans="1:34" ht="15" customHeight="1" x14ac:dyDescent="0.1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8"/>
      <c r="S7" s="15"/>
    </row>
    <row r="8" spans="1:34" ht="18" customHeight="1" x14ac:dyDescent="0.2">
      <c r="A8" s="17"/>
      <c r="B8" s="376" t="s">
        <v>332</v>
      </c>
      <c r="C8" s="377"/>
      <c r="D8" s="390" t="str">
        <f>'Metric Form'!D8</f>
        <v>Cabinetmart Inc</v>
      </c>
      <c r="E8" s="391"/>
      <c r="F8" s="391"/>
      <c r="G8" s="15"/>
      <c r="H8" s="20"/>
      <c r="I8" s="21"/>
      <c r="J8" s="21"/>
      <c r="K8" s="21"/>
      <c r="L8" s="15"/>
      <c r="M8" s="15"/>
      <c r="N8" s="15"/>
      <c r="O8" s="22" t="s">
        <v>333</v>
      </c>
      <c r="P8" s="423">
        <f ca="1">NOW()</f>
        <v>43453.491455555559</v>
      </c>
      <c r="Q8" s="424"/>
      <c r="R8" s="18"/>
      <c r="S8" s="15"/>
    </row>
    <row r="9" spans="1:34" ht="15" customHeight="1" x14ac:dyDescent="0.15">
      <c r="A9" s="17"/>
      <c r="B9" s="2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4"/>
      <c r="P9" s="15"/>
      <c r="Q9" s="15"/>
      <c r="R9" s="18"/>
      <c r="S9" s="15"/>
    </row>
    <row r="10" spans="1:34" ht="18" customHeight="1" x14ac:dyDescent="0.2">
      <c r="A10" s="17"/>
      <c r="B10" s="376" t="s">
        <v>334</v>
      </c>
      <c r="C10" s="377"/>
      <c r="D10" s="390">
        <f>'Metric Form'!D10</f>
        <v>0</v>
      </c>
      <c r="E10" s="391"/>
      <c r="F10" s="391"/>
      <c r="G10" s="15"/>
      <c r="I10" s="15"/>
      <c r="J10" s="15"/>
      <c r="K10" s="15"/>
      <c r="L10" s="376" t="s">
        <v>335</v>
      </c>
      <c r="M10" s="392"/>
      <c r="N10" s="392"/>
      <c r="O10" s="393"/>
      <c r="P10" s="394">
        <f>'Metric Form'!P10</f>
        <v>0</v>
      </c>
      <c r="Q10" s="394"/>
      <c r="R10" s="18"/>
      <c r="S10" s="15"/>
    </row>
    <row r="11" spans="1:34" ht="15" customHeight="1" x14ac:dyDescent="0.15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15"/>
    </row>
    <row r="12" spans="1:34" ht="18" customHeight="1" x14ac:dyDescent="0.2">
      <c r="A12" s="17"/>
      <c r="B12" s="376" t="s">
        <v>349</v>
      </c>
      <c r="C12" s="377"/>
      <c r="D12" s="378">
        <f>'Metric Form'!D12</f>
        <v>0</v>
      </c>
      <c r="E12" s="379"/>
      <c r="F12" s="380"/>
      <c r="G12" s="15"/>
      <c r="H12" s="15"/>
      <c r="I12" s="15"/>
      <c r="J12" s="15"/>
      <c r="K12" s="15"/>
      <c r="L12" s="381" t="s">
        <v>336</v>
      </c>
      <c r="M12" s="382"/>
      <c r="N12" s="378">
        <f>'Metric Form'!N12</f>
        <v>0</v>
      </c>
      <c r="O12" s="379"/>
      <c r="P12" s="379"/>
      <c r="Q12" s="380"/>
      <c r="R12" s="18"/>
      <c r="S12" s="15"/>
    </row>
    <row r="13" spans="1:34" ht="15" customHeight="1" x14ac:dyDescent="0.15">
      <c r="A13" s="17"/>
      <c r="B13" s="25"/>
      <c r="C13" s="25"/>
      <c r="D13" s="25"/>
      <c r="E13" s="25"/>
      <c r="F13" s="2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8"/>
      <c r="S13" s="15"/>
    </row>
    <row r="14" spans="1:34" ht="18" customHeight="1" x14ac:dyDescent="0.15">
      <c r="A14" s="17"/>
      <c r="B14"/>
      <c r="C14"/>
      <c r="D14"/>
      <c r="E14"/>
      <c r="F14"/>
      <c r="G14"/>
      <c r="H14"/>
      <c r="I14"/>
      <c r="J14"/>
      <c r="K14"/>
      <c r="L14"/>
      <c r="M14" s="15"/>
      <c r="N14" s="27" t="s">
        <v>344</v>
      </c>
      <c r="O14" s="173"/>
      <c r="P14" s="174"/>
      <c r="Q14" s="172">
        <f>'Metric Form'!Q18</f>
        <v>0</v>
      </c>
      <c r="R14" s="18"/>
      <c r="S14" s="1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5" customHeight="1" thickBot="1" x14ac:dyDescent="0.2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8"/>
      <c r="S15" s="15"/>
      <c r="T15" s="11"/>
      <c r="U15" s="16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4"/>
    </row>
    <row r="16" spans="1:34" ht="18" customHeight="1" x14ac:dyDescent="0.15">
      <c r="A16" s="17"/>
      <c r="B16" s="324" t="s">
        <v>159</v>
      </c>
      <c r="C16" s="337"/>
      <c r="D16" s="337"/>
      <c r="E16" s="337"/>
      <c r="F16" s="338"/>
      <c r="G16" s="15"/>
      <c r="H16" s="324" t="s">
        <v>160</v>
      </c>
      <c r="I16" s="337"/>
      <c r="J16" s="337"/>
      <c r="K16" s="337"/>
      <c r="L16" s="338"/>
      <c r="M16" s="41"/>
      <c r="N16" s="15"/>
      <c r="O16" s="324" t="s">
        <v>161</v>
      </c>
      <c r="P16" s="337"/>
      <c r="Q16" s="338"/>
      <c r="R16" s="18"/>
      <c r="S16" s="15"/>
      <c r="T16" s="17"/>
      <c r="U16" s="164"/>
      <c r="V16" s="15"/>
      <c r="W16" s="15"/>
      <c r="X16" s="15"/>
      <c r="Y16" s="15" t="s">
        <v>155</v>
      </c>
      <c r="Z16" s="15"/>
      <c r="AA16" s="15"/>
      <c r="AB16" s="15"/>
      <c r="AC16" s="15" t="s">
        <v>155</v>
      </c>
      <c r="AD16" s="15"/>
      <c r="AE16" s="15"/>
      <c r="AF16" s="15"/>
      <c r="AG16" s="15" t="s">
        <v>155</v>
      </c>
      <c r="AH16" s="18"/>
    </row>
    <row r="17" spans="1:34" ht="17.25" customHeight="1" x14ac:dyDescent="0.2">
      <c r="A17" s="17"/>
      <c r="B17" s="371" t="s">
        <v>348</v>
      </c>
      <c r="C17" s="372"/>
      <c r="D17" s="373"/>
      <c r="E17" s="428"/>
      <c r="F17" s="429"/>
      <c r="G17" s="15"/>
      <c r="H17" s="371" t="s">
        <v>117</v>
      </c>
      <c r="I17" s="372"/>
      <c r="J17" s="373"/>
      <c r="K17" s="428"/>
      <c r="L17" s="429"/>
      <c r="M17" s="21"/>
      <c r="N17" s="15"/>
      <c r="O17" s="416" t="s">
        <v>162</v>
      </c>
      <c r="P17" s="377"/>
      <c r="Q17" s="241">
        <f>'Metric Form'!Q21</f>
        <v>0</v>
      </c>
      <c r="R17" s="18"/>
      <c r="S17" s="15"/>
      <c r="T17" s="17"/>
      <c r="U17" s="164" t="s">
        <v>156</v>
      </c>
      <c r="V17" s="15"/>
      <c r="W17" s="15"/>
      <c r="X17" s="15"/>
      <c r="Y17" s="15" t="s">
        <v>280</v>
      </c>
      <c r="Z17" s="15"/>
      <c r="AA17" s="15"/>
      <c r="AB17" s="15"/>
      <c r="AC17" s="15" t="s">
        <v>283</v>
      </c>
      <c r="AD17" s="15"/>
      <c r="AE17" s="15"/>
      <c r="AF17" s="15"/>
      <c r="AG17" s="15" t="s">
        <v>286</v>
      </c>
      <c r="AH17" s="18"/>
    </row>
    <row r="18" spans="1:34" ht="18" customHeight="1" x14ac:dyDescent="0.15">
      <c r="A18" s="17"/>
      <c r="B18" s="353" t="s">
        <v>118</v>
      </c>
      <c r="C18" s="354"/>
      <c r="D18" s="44" t="s">
        <v>119</v>
      </c>
      <c r="E18" s="44" t="s">
        <v>120</v>
      </c>
      <c r="F18" s="45" t="s">
        <v>121</v>
      </c>
      <c r="G18" s="15"/>
      <c r="H18" s="355" t="s">
        <v>118</v>
      </c>
      <c r="I18" s="356"/>
      <c r="J18" s="46" t="s">
        <v>119</v>
      </c>
      <c r="K18" s="46" t="s">
        <v>120</v>
      </c>
      <c r="L18" s="47" t="s">
        <v>121</v>
      </c>
      <c r="M18" s="48"/>
      <c r="N18" s="15"/>
      <c r="O18" s="49" t="s">
        <v>119</v>
      </c>
      <c r="P18" s="50" t="s">
        <v>120</v>
      </c>
      <c r="Q18" s="51" t="s">
        <v>121</v>
      </c>
      <c r="R18" s="18"/>
      <c r="S18" s="15"/>
      <c r="T18" s="104"/>
      <c r="U18" s="166" t="s">
        <v>157</v>
      </c>
      <c r="V18" s="140"/>
      <c r="W18" s="140"/>
      <c r="X18" s="140"/>
      <c r="Y18" s="140" t="s">
        <v>128</v>
      </c>
      <c r="Z18" s="140"/>
      <c r="AA18" s="140"/>
      <c r="AB18" s="140"/>
      <c r="AC18" s="140" t="s">
        <v>128</v>
      </c>
      <c r="AD18" s="140"/>
      <c r="AE18" s="140"/>
      <c r="AF18" s="140"/>
      <c r="AG18" s="140" t="s">
        <v>158</v>
      </c>
      <c r="AH18" s="145"/>
    </row>
    <row r="19" spans="1:34" ht="12" customHeight="1" thickBot="1" x14ac:dyDescent="0.2">
      <c r="A19" s="17"/>
      <c r="B19" s="52" t="s">
        <v>122</v>
      </c>
      <c r="C19" s="53" t="s">
        <v>123</v>
      </c>
      <c r="D19" s="54"/>
      <c r="E19" s="54"/>
      <c r="F19" s="55"/>
      <c r="G19" s="15"/>
      <c r="H19" s="56" t="s">
        <v>122</v>
      </c>
      <c r="I19" s="57" t="s">
        <v>123</v>
      </c>
      <c r="J19" s="58"/>
      <c r="K19" s="58"/>
      <c r="L19" s="59"/>
      <c r="M19" s="21"/>
      <c r="N19" s="15"/>
      <c r="O19" s="60"/>
      <c r="P19" s="61"/>
      <c r="Q19" s="62"/>
      <c r="R19" s="18"/>
      <c r="S19" s="15"/>
      <c r="T19" s="17"/>
      <c r="U19" s="164"/>
      <c r="V19" s="15"/>
      <c r="W19" s="15"/>
      <c r="X19" s="15"/>
      <c r="Y19" s="175"/>
      <c r="Z19" s="15"/>
      <c r="AA19" s="15"/>
      <c r="AB19" s="15"/>
      <c r="AC19" s="175"/>
      <c r="AD19" s="15"/>
      <c r="AE19" s="15"/>
      <c r="AF19" s="15"/>
      <c r="AG19" s="15"/>
      <c r="AH19" s="18"/>
    </row>
    <row r="20" spans="1:34" ht="21" customHeight="1" x14ac:dyDescent="0.2">
      <c r="A20" s="17"/>
      <c r="B20" s="176"/>
      <c r="C20" s="177"/>
      <c r="D20" s="194" t="str">
        <f>IF('Metric Form'!D24="","",IF('Metric Form'!D24&gt;0,'Metric Form'!D24))</f>
        <v/>
      </c>
      <c r="E20" s="178" t="str">
        <f>IF('Metric Form'!E24="","",'Metric Form'!E24-120.65)</f>
        <v/>
      </c>
      <c r="F20" s="179" t="str">
        <f>IF('Metric Form'!F24="","",'Metric Form'!F24-120.65)</f>
        <v/>
      </c>
      <c r="G20" s="15"/>
      <c r="H20" s="180"/>
      <c r="I20" s="177"/>
      <c r="J20" s="194" t="str">
        <f>IF('Metric Form'!J24="","",IF('Metric Form'!J24&gt;0,'Metric Form'!J24))</f>
        <v/>
      </c>
      <c r="K20" s="178" t="str">
        <f>IF('Metric Form'!K24="","",'Metric Form'!K24-120.65)</f>
        <v/>
      </c>
      <c r="L20" s="179" t="str">
        <f>IF('Metric Form'!L24="","",'Metric Form'!L24-120.65)</f>
        <v/>
      </c>
      <c r="M20" s="70"/>
      <c r="N20" s="15"/>
      <c r="O20" s="102" t="str">
        <f>IF('Metric Form'!O24="","",IF('Metric Form'!O24&gt;0,'Metric Form'!O24))</f>
        <v/>
      </c>
      <c r="P20" s="178" t="str">
        <f>IF('Metric Form'!P24="","",'Metric Form'!P24-120.65)</f>
        <v/>
      </c>
      <c r="Q20" s="179" t="str">
        <f>IF('Metric Form'!Q24="","",'Metric Form'!Q24-57.15)</f>
        <v/>
      </c>
      <c r="R20" s="18"/>
      <c r="S20" s="15"/>
      <c r="T20" s="17"/>
      <c r="U20" s="164">
        <v>1</v>
      </c>
      <c r="V20" s="167" t="e">
        <f t="shared" ref="V20:V34" si="0">E20*F20/144</f>
        <v>#VALUE!</v>
      </c>
      <c r="W20" s="167" t="e">
        <f t="shared" ref="W20:W34" si="1">IF(D20=0,0,IF(E20*F20/144&lt;1,1,E20*F20/144))</f>
        <v>#VALUE!</v>
      </c>
      <c r="X20" s="167" t="e">
        <f t="shared" ref="X20:X34" si="2">$W20*$D20</f>
        <v>#VALUE!</v>
      </c>
      <c r="Y20" s="168" t="e">
        <f t="shared" ref="Y20:Y34" si="3">CEILING(X20,0.25)</f>
        <v>#VALUE!</v>
      </c>
      <c r="Z20" s="169" t="e">
        <f t="shared" ref="Z20:Z34" si="4">K20*L20/144</f>
        <v>#VALUE!</v>
      </c>
      <c r="AA20" s="169" t="e">
        <f t="shared" ref="AA20:AA34" si="5">IF(J20=0,0,IF(K20*L20/144&lt;1,1,K20*L20/144))</f>
        <v>#VALUE!</v>
      </c>
      <c r="AB20" s="169" t="e">
        <f t="shared" ref="AB20:AB34" si="6">$AA20*$J20</f>
        <v>#VALUE!</v>
      </c>
      <c r="AC20" s="168" t="e">
        <f t="shared" ref="AC20:AC34" si="7">CEILING(AB20,0.25)</f>
        <v>#VALUE!</v>
      </c>
      <c r="AD20" s="169" t="e">
        <f t="shared" ref="AD20:AD30" si="8">P20*Q20/144</f>
        <v>#VALUE!</v>
      </c>
      <c r="AE20" s="169" t="e">
        <f t="shared" ref="AE20:AE30" si="9">IF(O20=0,0,IF(P20*Q20/144&lt;1,1,P20*Q20/144))</f>
        <v>#VALUE!</v>
      </c>
      <c r="AF20" s="169" t="e">
        <f t="shared" ref="AF20:AF30" si="10">$AE20*$O20</f>
        <v>#VALUE!</v>
      </c>
      <c r="AG20" s="169" t="e">
        <f t="shared" ref="AG20:AG34" si="11">CEILING(AF20,0.25)</f>
        <v>#VALUE!</v>
      </c>
      <c r="AH20" s="18"/>
    </row>
    <row r="21" spans="1:34" ht="21" customHeight="1" x14ac:dyDescent="0.2">
      <c r="A21" s="17"/>
      <c r="B21" s="181"/>
      <c r="C21" s="182"/>
      <c r="D21" s="74" t="str">
        <f>IF('Metric Form'!D25="","",IF('Metric Form'!D25&gt;0,'Metric Form'!D25))</f>
        <v/>
      </c>
      <c r="E21" s="183" t="str">
        <f>IF('Metric Form'!E25="","",'Metric Form'!E25-120.65)</f>
        <v/>
      </c>
      <c r="F21" s="184" t="str">
        <f>IF('Metric Form'!F25="","",'Metric Form'!F25-120.65)</f>
        <v/>
      </c>
      <c r="G21" s="15"/>
      <c r="H21" s="185"/>
      <c r="I21" s="182"/>
      <c r="J21" s="74" t="str">
        <f>IF('Metric Form'!J25="","",IF('Metric Form'!J25&gt;0,'Metric Form'!J25))</f>
        <v/>
      </c>
      <c r="K21" s="183" t="str">
        <f>IF('Metric Form'!K25="","",'Metric Form'!K25-120.65)</f>
        <v/>
      </c>
      <c r="L21" s="184" t="str">
        <f>IF('Metric Form'!L25="","",'Metric Form'!L25-120.65)</f>
        <v/>
      </c>
      <c r="M21" s="70"/>
      <c r="N21" s="15"/>
      <c r="O21" s="77" t="str">
        <f>IF('Metric Form'!O25="","",IF('Metric Form'!O25&gt;0,'Metric Form'!O25))</f>
        <v/>
      </c>
      <c r="P21" s="183" t="str">
        <f>IF('Metric Form'!P25="","",'Metric Form'!P25-120.65)</f>
        <v/>
      </c>
      <c r="Q21" s="184" t="str">
        <f>IF('Metric Form'!Q25="","",'Metric Form'!Q25-57.15)</f>
        <v/>
      </c>
      <c r="R21" s="18"/>
      <c r="S21" s="15"/>
      <c r="T21" s="17"/>
      <c r="U21" s="164">
        <v>2</v>
      </c>
      <c r="V21" s="167" t="e">
        <f t="shared" si="0"/>
        <v>#VALUE!</v>
      </c>
      <c r="W21" s="167" t="e">
        <f t="shared" si="1"/>
        <v>#VALUE!</v>
      </c>
      <c r="X21" s="167" t="e">
        <f t="shared" si="2"/>
        <v>#VALUE!</v>
      </c>
      <c r="Y21" s="168" t="e">
        <f t="shared" si="3"/>
        <v>#VALUE!</v>
      </c>
      <c r="Z21" s="169" t="e">
        <f t="shared" si="4"/>
        <v>#VALUE!</v>
      </c>
      <c r="AA21" s="169" t="e">
        <f t="shared" si="5"/>
        <v>#VALUE!</v>
      </c>
      <c r="AB21" s="169" t="e">
        <f t="shared" si="6"/>
        <v>#VALUE!</v>
      </c>
      <c r="AC21" s="168" t="e">
        <f t="shared" si="7"/>
        <v>#VALUE!</v>
      </c>
      <c r="AD21" s="169" t="e">
        <f t="shared" si="8"/>
        <v>#VALUE!</v>
      </c>
      <c r="AE21" s="169" t="e">
        <f t="shared" si="9"/>
        <v>#VALUE!</v>
      </c>
      <c r="AF21" s="169" t="e">
        <f t="shared" si="10"/>
        <v>#VALUE!</v>
      </c>
      <c r="AG21" s="169" t="e">
        <f t="shared" si="11"/>
        <v>#VALUE!</v>
      </c>
      <c r="AH21" s="18"/>
    </row>
    <row r="22" spans="1:34" ht="21" customHeight="1" x14ac:dyDescent="0.2">
      <c r="A22" s="17"/>
      <c r="B22" s="181"/>
      <c r="C22" s="182"/>
      <c r="D22" s="74" t="str">
        <f>IF('Metric Form'!D26="","",IF('Metric Form'!D26&gt;0,'Metric Form'!D26))</f>
        <v/>
      </c>
      <c r="E22" s="183" t="str">
        <f>IF('Metric Form'!E26="","",'Metric Form'!E26-120.65)</f>
        <v/>
      </c>
      <c r="F22" s="184" t="str">
        <f>IF('Metric Form'!F26="","",'Metric Form'!F26-120.65)</f>
        <v/>
      </c>
      <c r="G22" s="15"/>
      <c r="H22" s="185"/>
      <c r="I22" s="182"/>
      <c r="J22" s="74" t="str">
        <f>IF('Metric Form'!J26="","",IF('Metric Form'!J26&gt;0,'Metric Form'!J26))</f>
        <v/>
      </c>
      <c r="K22" s="183" t="str">
        <f>IF('Metric Form'!K26="","",'Metric Form'!K26-120.65)</f>
        <v/>
      </c>
      <c r="L22" s="184" t="str">
        <f>IF('Metric Form'!L26="","",'Metric Form'!L26-120.65)</f>
        <v/>
      </c>
      <c r="M22" s="70"/>
      <c r="N22" s="15"/>
      <c r="O22" s="77" t="str">
        <f>IF('Metric Form'!O26="","",IF('Metric Form'!O26&gt;0,'Metric Form'!O26))</f>
        <v/>
      </c>
      <c r="P22" s="183" t="str">
        <f>IF('Metric Form'!P26="","",'Metric Form'!P26-120.65)</f>
        <v/>
      </c>
      <c r="Q22" s="184" t="str">
        <f>IF('Metric Form'!Q26="","",'Metric Form'!Q26-57.15)</f>
        <v/>
      </c>
      <c r="R22" s="18"/>
      <c r="S22" s="15"/>
      <c r="T22" s="17"/>
      <c r="U22" s="164">
        <v>3</v>
      </c>
      <c r="V22" s="167" t="e">
        <f t="shared" si="0"/>
        <v>#VALUE!</v>
      </c>
      <c r="W22" s="167" t="e">
        <f t="shared" si="1"/>
        <v>#VALUE!</v>
      </c>
      <c r="X22" s="167" t="e">
        <f t="shared" si="2"/>
        <v>#VALUE!</v>
      </c>
      <c r="Y22" s="168" t="e">
        <f t="shared" si="3"/>
        <v>#VALUE!</v>
      </c>
      <c r="Z22" s="169" t="e">
        <f t="shared" si="4"/>
        <v>#VALUE!</v>
      </c>
      <c r="AA22" s="169" t="e">
        <f t="shared" si="5"/>
        <v>#VALUE!</v>
      </c>
      <c r="AB22" s="169" t="e">
        <f t="shared" si="6"/>
        <v>#VALUE!</v>
      </c>
      <c r="AC22" s="168" t="e">
        <f t="shared" si="7"/>
        <v>#VALUE!</v>
      </c>
      <c r="AD22" s="169" t="e">
        <f t="shared" si="8"/>
        <v>#VALUE!</v>
      </c>
      <c r="AE22" s="169" t="e">
        <f t="shared" si="9"/>
        <v>#VALUE!</v>
      </c>
      <c r="AF22" s="169" t="e">
        <f t="shared" si="10"/>
        <v>#VALUE!</v>
      </c>
      <c r="AG22" s="169" t="e">
        <f t="shared" si="11"/>
        <v>#VALUE!</v>
      </c>
      <c r="AH22" s="18"/>
    </row>
    <row r="23" spans="1:34" ht="21" customHeight="1" x14ac:dyDescent="0.2">
      <c r="A23" s="17"/>
      <c r="B23" s="181"/>
      <c r="C23" s="182"/>
      <c r="D23" s="74" t="str">
        <f>IF('Metric Form'!D27="","",IF('Metric Form'!D27&gt;0,'Metric Form'!D27))</f>
        <v/>
      </c>
      <c r="E23" s="183" t="str">
        <f>IF('Metric Form'!E27="","",'Metric Form'!E27-120.65)</f>
        <v/>
      </c>
      <c r="F23" s="184" t="str">
        <f>IF('Metric Form'!F27="","",'Metric Form'!F27-120.65)</f>
        <v/>
      </c>
      <c r="G23" s="15"/>
      <c r="H23" s="185"/>
      <c r="I23" s="182"/>
      <c r="J23" s="74" t="str">
        <f>IF('Metric Form'!J27="","",IF('Metric Form'!J27&gt;0,'Metric Form'!J27))</f>
        <v/>
      </c>
      <c r="K23" s="183" t="str">
        <f>IF('Metric Form'!K27="","",'Metric Form'!K27-120.65)</f>
        <v/>
      </c>
      <c r="L23" s="184" t="str">
        <f>IF('Metric Form'!L27="","",'Metric Form'!L27-120.65)</f>
        <v/>
      </c>
      <c r="M23" s="70"/>
      <c r="N23" s="15"/>
      <c r="O23" s="77" t="str">
        <f>IF('Metric Form'!O27="","",IF('Metric Form'!O27&gt;0,'Metric Form'!O27))</f>
        <v/>
      </c>
      <c r="P23" s="183" t="str">
        <f>IF('Metric Form'!P27="","",'Metric Form'!P27-120.65)</f>
        <v/>
      </c>
      <c r="Q23" s="184" t="str">
        <f>IF('Metric Form'!Q27="","",'Metric Form'!Q27-57.15)</f>
        <v/>
      </c>
      <c r="R23" s="18"/>
      <c r="S23" s="15"/>
      <c r="T23" s="17"/>
      <c r="U23" s="164">
        <v>4</v>
      </c>
      <c r="V23" s="167" t="e">
        <f t="shared" si="0"/>
        <v>#VALUE!</v>
      </c>
      <c r="W23" s="167" t="e">
        <f t="shared" si="1"/>
        <v>#VALUE!</v>
      </c>
      <c r="X23" s="167" t="e">
        <f t="shared" si="2"/>
        <v>#VALUE!</v>
      </c>
      <c r="Y23" s="168" t="e">
        <f t="shared" si="3"/>
        <v>#VALUE!</v>
      </c>
      <c r="Z23" s="169" t="e">
        <f t="shared" si="4"/>
        <v>#VALUE!</v>
      </c>
      <c r="AA23" s="169" t="e">
        <f t="shared" si="5"/>
        <v>#VALUE!</v>
      </c>
      <c r="AB23" s="169" t="e">
        <f t="shared" si="6"/>
        <v>#VALUE!</v>
      </c>
      <c r="AC23" s="168" t="e">
        <f t="shared" si="7"/>
        <v>#VALUE!</v>
      </c>
      <c r="AD23" s="169" t="e">
        <f t="shared" si="8"/>
        <v>#VALUE!</v>
      </c>
      <c r="AE23" s="169" t="e">
        <f t="shared" si="9"/>
        <v>#VALUE!</v>
      </c>
      <c r="AF23" s="169" t="e">
        <f t="shared" si="10"/>
        <v>#VALUE!</v>
      </c>
      <c r="AG23" s="169" t="e">
        <f t="shared" si="11"/>
        <v>#VALUE!</v>
      </c>
      <c r="AH23" s="18"/>
    </row>
    <row r="24" spans="1:34" ht="21" customHeight="1" x14ac:dyDescent="0.2">
      <c r="A24" s="17"/>
      <c r="B24" s="181"/>
      <c r="C24" s="182"/>
      <c r="D24" s="74" t="str">
        <f>IF('Metric Form'!D28="","",IF('Metric Form'!D28&gt;0,'Metric Form'!D28))</f>
        <v/>
      </c>
      <c r="E24" s="183" t="str">
        <f>IF('Metric Form'!E28="","",'Metric Form'!E28-120.65)</f>
        <v/>
      </c>
      <c r="F24" s="184" t="str">
        <f>IF('Metric Form'!F28="","",'Metric Form'!F28-120.65)</f>
        <v/>
      </c>
      <c r="G24" s="15"/>
      <c r="H24" s="185"/>
      <c r="I24" s="182"/>
      <c r="J24" s="74" t="str">
        <f>IF('Metric Form'!J28="","",IF('Metric Form'!J28&gt;0,'Metric Form'!J28))</f>
        <v/>
      </c>
      <c r="K24" s="183" t="str">
        <f>IF('Metric Form'!K28="","",'Metric Form'!K28-120.65)</f>
        <v/>
      </c>
      <c r="L24" s="184" t="str">
        <f>IF('Metric Form'!L28="","",'Metric Form'!L28-120.65)</f>
        <v/>
      </c>
      <c r="M24" s="70"/>
      <c r="N24" s="15"/>
      <c r="O24" s="77" t="str">
        <f>IF('Metric Form'!O28="","",IF('Metric Form'!O28&gt;0,'Metric Form'!O28))</f>
        <v/>
      </c>
      <c r="P24" s="183" t="str">
        <f>IF('Metric Form'!P28="","",'Metric Form'!P28-120.65)</f>
        <v/>
      </c>
      <c r="Q24" s="184" t="str">
        <f>IF('Metric Form'!Q28="","",'Metric Form'!Q28-57.15)</f>
        <v/>
      </c>
      <c r="R24" s="18"/>
      <c r="S24" s="15"/>
      <c r="T24" s="17"/>
      <c r="U24" s="164">
        <v>5</v>
      </c>
      <c r="V24" s="167" t="e">
        <f t="shared" si="0"/>
        <v>#VALUE!</v>
      </c>
      <c r="W24" s="167" t="e">
        <f t="shared" si="1"/>
        <v>#VALUE!</v>
      </c>
      <c r="X24" s="167" t="e">
        <f t="shared" si="2"/>
        <v>#VALUE!</v>
      </c>
      <c r="Y24" s="168" t="e">
        <f t="shared" si="3"/>
        <v>#VALUE!</v>
      </c>
      <c r="Z24" s="169" t="e">
        <f t="shared" si="4"/>
        <v>#VALUE!</v>
      </c>
      <c r="AA24" s="169" t="e">
        <f t="shared" si="5"/>
        <v>#VALUE!</v>
      </c>
      <c r="AB24" s="169" t="e">
        <f t="shared" si="6"/>
        <v>#VALUE!</v>
      </c>
      <c r="AC24" s="168" t="e">
        <f t="shared" si="7"/>
        <v>#VALUE!</v>
      </c>
      <c r="AD24" s="169" t="e">
        <f t="shared" si="8"/>
        <v>#VALUE!</v>
      </c>
      <c r="AE24" s="169" t="e">
        <f t="shared" si="9"/>
        <v>#VALUE!</v>
      </c>
      <c r="AF24" s="169" t="e">
        <f t="shared" si="10"/>
        <v>#VALUE!</v>
      </c>
      <c r="AG24" s="169" t="e">
        <f t="shared" si="11"/>
        <v>#VALUE!</v>
      </c>
      <c r="AH24" s="18"/>
    </row>
    <row r="25" spans="1:34" ht="21" customHeight="1" x14ac:dyDescent="0.2">
      <c r="A25" s="17"/>
      <c r="B25" s="181"/>
      <c r="C25" s="182"/>
      <c r="D25" s="74" t="str">
        <f>IF('Metric Form'!D29="","",IF('Metric Form'!D29&gt;0,'Metric Form'!D29))</f>
        <v/>
      </c>
      <c r="E25" s="183" t="str">
        <f>IF('Metric Form'!E29="","",'Metric Form'!E29-120.65)</f>
        <v/>
      </c>
      <c r="F25" s="184" t="str">
        <f>IF('Metric Form'!F29="","",'Metric Form'!F29-120.65)</f>
        <v/>
      </c>
      <c r="G25" s="15"/>
      <c r="H25" s="185"/>
      <c r="I25" s="182"/>
      <c r="J25" s="74" t="str">
        <f>IF('Metric Form'!J29="","",IF('Metric Form'!J29&gt;0,'Metric Form'!J29))</f>
        <v/>
      </c>
      <c r="K25" s="183" t="str">
        <f>IF('Metric Form'!K29="","",'Metric Form'!K29-120.65)</f>
        <v/>
      </c>
      <c r="L25" s="184" t="str">
        <f>IF('Metric Form'!L29="","",'Metric Form'!L29-120.65)</f>
        <v/>
      </c>
      <c r="M25" s="70"/>
      <c r="N25" s="15"/>
      <c r="O25" s="77" t="str">
        <f>IF('Metric Form'!O29="","",IF('Metric Form'!O29&gt;0,'Metric Form'!O29))</f>
        <v/>
      </c>
      <c r="P25" s="183" t="str">
        <f>IF('Metric Form'!P29="","",'Metric Form'!P29-120.65)</f>
        <v/>
      </c>
      <c r="Q25" s="184" t="str">
        <f>IF('Metric Form'!Q29="","",'Metric Form'!Q29-57.15)</f>
        <v/>
      </c>
      <c r="R25" s="18"/>
      <c r="S25" s="15"/>
      <c r="T25" s="17"/>
      <c r="U25" s="164">
        <v>6</v>
      </c>
      <c r="V25" s="167" t="e">
        <f t="shared" si="0"/>
        <v>#VALUE!</v>
      </c>
      <c r="W25" s="167" t="e">
        <f t="shared" si="1"/>
        <v>#VALUE!</v>
      </c>
      <c r="X25" s="167" t="e">
        <f t="shared" si="2"/>
        <v>#VALUE!</v>
      </c>
      <c r="Y25" s="168" t="e">
        <f t="shared" si="3"/>
        <v>#VALUE!</v>
      </c>
      <c r="Z25" s="169" t="e">
        <f t="shared" si="4"/>
        <v>#VALUE!</v>
      </c>
      <c r="AA25" s="169" t="e">
        <f t="shared" si="5"/>
        <v>#VALUE!</v>
      </c>
      <c r="AB25" s="169" t="e">
        <f t="shared" si="6"/>
        <v>#VALUE!</v>
      </c>
      <c r="AC25" s="168" t="e">
        <f t="shared" si="7"/>
        <v>#VALUE!</v>
      </c>
      <c r="AD25" s="169" t="e">
        <f t="shared" si="8"/>
        <v>#VALUE!</v>
      </c>
      <c r="AE25" s="169" t="e">
        <f t="shared" si="9"/>
        <v>#VALUE!</v>
      </c>
      <c r="AF25" s="169" t="e">
        <f t="shared" si="10"/>
        <v>#VALUE!</v>
      </c>
      <c r="AG25" s="169" t="e">
        <f t="shared" si="11"/>
        <v>#VALUE!</v>
      </c>
      <c r="AH25" s="18"/>
    </row>
    <row r="26" spans="1:34" ht="21" customHeight="1" x14ac:dyDescent="0.2">
      <c r="A26" s="17"/>
      <c r="B26" s="181"/>
      <c r="C26" s="182"/>
      <c r="D26" s="74" t="str">
        <f>IF('Metric Form'!D30="","",IF('Metric Form'!D30&gt;0,'Metric Form'!D30))</f>
        <v/>
      </c>
      <c r="E26" s="183" t="str">
        <f>IF('Metric Form'!E30="","",'Metric Form'!E30-120.65)</f>
        <v/>
      </c>
      <c r="F26" s="184" t="str">
        <f>IF('Metric Form'!F30="","",'Metric Form'!F30-120.65)</f>
        <v/>
      </c>
      <c r="G26" s="15"/>
      <c r="H26" s="185"/>
      <c r="I26" s="182"/>
      <c r="J26" s="74" t="str">
        <f>IF('Metric Form'!J30="","",IF('Metric Form'!J30&gt;0,'Metric Form'!J30))</f>
        <v/>
      </c>
      <c r="K26" s="183" t="str">
        <f>IF('Metric Form'!K30="","",'Metric Form'!K30-120.65)</f>
        <v/>
      </c>
      <c r="L26" s="184" t="str">
        <f>IF('Metric Form'!L30="","",'Metric Form'!L30-120.65)</f>
        <v/>
      </c>
      <c r="M26" s="70"/>
      <c r="N26" s="15"/>
      <c r="O26" s="77" t="str">
        <f>IF('Metric Form'!O30="","",IF('Metric Form'!O30&gt;0,'Metric Form'!O30))</f>
        <v/>
      </c>
      <c r="P26" s="183" t="str">
        <f>IF('Metric Form'!P30="","",'Metric Form'!P30-120.65)</f>
        <v/>
      </c>
      <c r="Q26" s="184" t="str">
        <f>IF('Metric Form'!Q30="","",'Metric Form'!Q30-57.15)</f>
        <v/>
      </c>
      <c r="R26" s="18"/>
      <c r="S26" s="15"/>
      <c r="T26" s="17"/>
      <c r="U26" s="164">
        <v>7</v>
      </c>
      <c r="V26" s="167" t="e">
        <f t="shared" si="0"/>
        <v>#VALUE!</v>
      </c>
      <c r="W26" s="167" t="e">
        <f t="shared" si="1"/>
        <v>#VALUE!</v>
      </c>
      <c r="X26" s="167" t="e">
        <f t="shared" si="2"/>
        <v>#VALUE!</v>
      </c>
      <c r="Y26" s="168" t="e">
        <f t="shared" si="3"/>
        <v>#VALUE!</v>
      </c>
      <c r="Z26" s="169" t="e">
        <f t="shared" si="4"/>
        <v>#VALUE!</v>
      </c>
      <c r="AA26" s="169" t="e">
        <f t="shared" si="5"/>
        <v>#VALUE!</v>
      </c>
      <c r="AB26" s="169" t="e">
        <f t="shared" si="6"/>
        <v>#VALUE!</v>
      </c>
      <c r="AC26" s="168" t="e">
        <f t="shared" si="7"/>
        <v>#VALUE!</v>
      </c>
      <c r="AD26" s="169" t="e">
        <f t="shared" si="8"/>
        <v>#VALUE!</v>
      </c>
      <c r="AE26" s="169" t="e">
        <f t="shared" si="9"/>
        <v>#VALUE!</v>
      </c>
      <c r="AF26" s="169" t="e">
        <f t="shared" si="10"/>
        <v>#VALUE!</v>
      </c>
      <c r="AG26" s="169" t="e">
        <f t="shared" si="11"/>
        <v>#VALUE!</v>
      </c>
      <c r="AH26" s="18"/>
    </row>
    <row r="27" spans="1:34" ht="21" customHeight="1" x14ac:dyDescent="0.2">
      <c r="A27" s="17"/>
      <c r="B27" s="181"/>
      <c r="C27" s="182"/>
      <c r="D27" s="74" t="str">
        <f>IF('Metric Form'!D31="","",IF('Metric Form'!D31&gt;0,'Metric Form'!D31))</f>
        <v/>
      </c>
      <c r="E27" s="183" t="str">
        <f>IF('Metric Form'!E31="","",'Metric Form'!E31-120.65)</f>
        <v/>
      </c>
      <c r="F27" s="184" t="str">
        <f>IF('Metric Form'!F31="","",'Metric Form'!F31-120.65)</f>
        <v/>
      </c>
      <c r="G27" s="15"/>
      <c r="H27" s="185"/>
      <c r="I27" s="182"/>
      <c r="J27" s="74" t="str">
        <f>IF('Metric Form'!J31="","",IF('Metric Form'!J31&gt;0,'Metric Form'!J31))</f>
        <v/>
      </c>
      <c r="K27" s="183" t="str">
        <f>IF('Metric Form'!K31="","",'Metric Form'!K31-120.65)</f>
        <v/>
      </c>
      <c r="L27" s="184" t="str">
        <f>IF('Metric Form'!L31="","",'Metric Form'!L31-120.65)</f>
        <v/>
      </c>
      <c r="M27" s="70"/>
      <c r="N27" s="15"/>
      <c r="O27" s="77" t="str">
        <f>IF('Metric Form'!O31="","",IF('Metric Form'!O31&gt;0,'Metric Form'!O31))</f>
        <v/>
      </c>
      <c r="P27" s="183" t="str">
        <f>IF('Metric Form'!P31="","",'Metric Form'!P31-120.65)</f>
        <v/>
      </c>
      <c r="Q27" s="184" t="str">
        <f>IF('Metric Form'!Q31="","",'Metric Form'!Q31-57.15)</f>
        <v/>
      </c>
      <c r="R27" s="18"/>
      <c r="S27" s="15"/>
      <c r="T27" s="17"/>
      <c r="U27" s="164">
        <v>8</v>
      </c>
      <c r="V27" s="167" t="e">
        <f t="shared" si="0"/>
        <v>#VALUE!</v>
      </c>
      <c r="W27" s="167" t="e">
        <f t="shared" si="1"/>
        <v>#VALUE!</v>
      </c>
      <c r="X27" s="167" t="e">
        <f t="shared" si="2"/>
        <v>#VALUE!</v>
      </c>
      <c r="Y27" s="168" t="e">
        <f t="shared" si="3"/>
        <v>#VALUE!</v>
      </c>
      <c r="Z27" s="169" t="e">
        <f t="shared" si="4"/>
        <v>#VALUE!</v>
      </c>
      <c r="AA27" s="169" t="e">
        <f t="shared" si="5"/>
        <v>#VALUE!</v>
      </c>
      <c r="AB27" s="169" t="e">
        <f t="shared" si="6"/>
        <v>#VALUE!</v>
      </c>
      <c r="AC27" s="168" t="e">
        <f t="shared" si="7"/>
        <v>#VALUE!</v>
      </c>
      <c r="AD27" s="169" t="e">
        <f t="shared" si="8"/>
        <v>#VALUE!</v>
      </c>
      <c r="AE27" s="169" t="e">
        <f t="shared" si="9"/>
        <v>#VALUE!</v>
      </c>
      <c r="AF27" s="169" t="e">
        <f t="shared" si="10"/>
        <v>#VALUE!</v>
      </c>
      <c r="AG27" s="169" t="e">
        <f t="shared" si="11"/>
        <v>#VALUE!</v>
      </c>
      <c r="AH27" s="18"/>
    </row>
    <row r="28" spans="1:34" ht="21" customHeight="1" x14ac:dyDescent="0.2">
      <c r="A28" s="17"/>
      <c r="B28" s="181"/>
      <c r="C28" s="182"/>
      <c r="D28" s="74" t="str">
        <f>IF('Metric Form'!D32="","",IF('Metric Form'!D32&gt;0,'Metric Form'!D32))</f>
        <v/>
      </c>
      <c r="E28" s="183" t="str">
        <f>IF('Metric Form'!E32="","",'Metric Form'!E32-120.65)</f>
        <v/>
      </c>
      <c r="F28" s="184" t="str">
        <f>IF('Metric Form'!F32="","",'Metric Form'!F32-120.65)</f>
        <v/>
      </c>
      <c r="G28" s="15"/>
      <c r="H28" s="185"/>
      <c r="I28" s="182"/>
      <c r="J28" s="74" t="str">
        <f>IF('Metric Form'!J32="","",IF('Metric Form'!J32&gt;0,'Metric Form'!J32))</f>
        <v/>
      </c>
      <c r="K28" s="183" t="str">
        <f>IF('Metric Form'!K32="","",'Metric Form'!K32-120.65)</f>
        <v/>
      </c>
      <c r="L28" s="184" t="str">
        <f>IF('Metric Form'!L32="","",'Metric Form'!L32-120.65)</f>
        <v/>
      </c>
      <c r="M28" s="70"/>
      <c r="N28" s="15"/>
      <c r="O28" s="77" t="str">
        <f>IF('Metric Form'!O32="","",IF('Metric Form'!O32&gt;0,'Metric Form'!O32))</f>
        <v/>
      </c>
      <c r="P28" s="183" t="str">
        <f>IF('Metric Form'!P32="","",'Metric Form'!P32-120.65)</f>
        <v/>
      </c>
      <c r="Q28" s="184" t="str">
        <f>IF('Metric Form'!Q32="","",'Metric Form'!Q32-57.15)</f>
        <v/>
      </c>
      <c r="R28" s="18"/>
      <c r="S28" s="15"/>
      <c r="T28" s="17"/>
      <c r="U28" s="164">
        <v>9</v>
      </c>
      <c r="V28" s="167" t="e">
        <f t="shared" si="0"/>
        <v>#VALUE!</v>
      </c>
      <c r="W28" s="167" t="e">
        <f t="shared" si="1"/>
        <v>#VALUE!</v>
      </c>
      <c r="X28" s="167" t="e">
        <f t="shared" si="2"/>
        <v>#VALUE!</v>
      </c>
      <c r="Y28" s="168" t="e">
        <f t="shared" si="3"/>
        <v>#VALUE!</v>
      </c>
      <c r="Z28" s="169" t="e">
        <f t="shared" si="4"/>
        <v>#VALUE!</v>
      </c>
      <c r="AA28" s="169" t="e">
        <f t="shared" si="5"/>
        <v>#VALUE!</v>
      </c>
      <c r="AB28" s="169" t="e">
        <f t="shared" si="6"/>
        <v>#VALUE!</v>
      </c>
      <c r="AC28" s="168" t="e">
        <f t="shared" si="7"/>
        <v>#VALUE!</v>
      </c>
      <c r="AD28" s="169" t="e">
        <f t="shared" si="8"/>
        <v>#VALUE!</v>
      </c>
      <c r="AE28" s="169" t="e">
        <f t="shared" si="9"/>
        <v>#VALUE!</v>
      </c>
      <c r="AF28" s="169" t="e">
        <f t="shared" si="10"/>
        <v>#VALUE!</v>
      </c>
      <c r="AG28" s="169" t="e">
        <f t="shared" si="11"/>
        <v>#VALUE!</v>
      </c>
      <c r="AH28" s="18"/>
    </row>
    <row r="29" spans="1:34" ht="21" customHeight="1" x14ac:dyDescent="0.2">
      <c r="A29" s="17"/>
      <c r="B29" s="181"/>
      <c r="C29" s="182"/>
      <c r="D29" s="74" t="str">
        <f>IF('Metric Form'!D33="","",IF('Metric Form'!D33&gt;0,'Metric Form'!D33))</f>
        <v/>
      </c>
      <c r="E29" s="183" t="str">
        <f>IF('Metric Form'!E33="","",'Metric Form'!E33-120.65)</f>
        <v/>
      </c>
      <c r="F29" s="184" t="str">
        <f>IF('Metric Form'!F33="","",'Metric Form'!F33-120.65)</f>
        <v/>
      </c>
      <c r="G29" s="15"/>
      <c r="H29" s="185"/>
      <c r="I29" s="182"/>
      <c r="J29" s="74" t="str">
        <f>IF('Metric Form'!J33="","",IF('Metric Form'!J33&gt;0,'Metric Form'!J33))</f>
        <v/>
      </c>
      <c r="K29" s="183" t="str">
        <f>IF('Metric Form'!K33="","",'Metric Form'!K33-120.65)</f>
        <v/>
      </c>
      <c r="L29" s="184" t="str">
        <f>IF('Metric Form'!L33="","",'Metric Form'!L33-120.65)</f>
        <v/>
      </c>
      <c r="M29" s="70"/>
      <c r="N29" s="15"/>
      <c r="O29" s="77" t="str">
        <f>IF('Metric Form'!O33="","",IF('Metric Form'!O33&gt;0,'Metric Form'!O33))</f>
        <v/>
      </c>
      <c r="P29" s="183" t="str">
        <f>IF('Metric Form'!P33="","",'Metric Form'!P33-120.65)</f>
        <v/>
      </c>
      <c r="Q29" s="184" t="str">
        <f>IF('Metric Form'!Q33="","",'Metric Form'!Q33-57.15)</f>
        <v/>
      </c>
      <c r="R29" s="18"/>
      <c r="S29" s="15"/>
      <c r="T29" s="17"/>
      <c r="U29" s="164">
        <v>10</v>
      </c>
      <c r="V29" s="167" t="e">
        <f t="shared" si="0"/>
        <v>#VALUE!</v>
      </c>
      <c r="W29" s="167" t="e">
        <f t="shared" si="1"/>
        <v>#VALUE!</v>
      </c>
      <c r="X29" s="167" t="e">
        <f t="shared" si="2"/>
        <v>#VALUE!</v>
      </c>
      <c r="Y29" s="168" t="e">
        <f t="shared" si="3"/>
        <v>#VALUE!</v>
      </c>
      <c r="Z29" s="169" t="e">
        <f t="shared" si="4"/>
        <v>#VALUE!</v>
      </c>
      <c r="AA29" s="169" t="e">
        <f t="shared" si="5"/>
        <v>#VALUE!</v>
      </c>
      <c r="AB29" s="169" t="e">
        <f t="shared" si="6"/>
        <v>#VALUE!</v>
      </c>
      <c r="AC29" s="168" t="e">
        <f t="shared" si="7"/>
        <v>#VALUE!</v>
      </c>
      <c r="AD29" s="169" t="e">
        <f t="shared" si="8"/>
        <v>#VALUE!</v>
      </c>
      <c r="AE29" s="169" t="e">
        <f t="shared" si="9"/>
        <v>#VALUE!</v>
      </c>
      <c r="AF29" s="169" t="e">
        <f t="shared" si="10"/>
        <v>#VALUE!</v>
      </c>
      <c r="AG29" s="169" t="e">
        <f t="shared" si="11"/>
        <v>#VALUE!</v>
      </c>
      <c r="AH29" s="18"/>
    </row>
    <row r="30" spans="1:34" ht="21" customHeight="1" x14ac:dyDescent="0.2">
      <c r="A30" s="17"/>
      <c r="B30" s="181"/>
      <c r="C30" s="182"/>
      <c r="D30" s="74" t="str">
        <f>IF('Metric Form'!D34="","",IF('Metric Form'!D34&gt;0,'Metric Form'!D34))</f>
        <v/>
      </c>
      <c r="E30" s="183" t="str">
        <f>IF('Metric Form'!E34="","",'Metric Form'!E34-120.65)</f>
        <v/>
      </c>
      <c r="F30" s="184" t="str">
        <f>IF('Metric Form'!F34="","",'Metric Form'!F34-120.65)</f>
        <v/>
      </c>
      <c r="G30" s="15"/>
      <c r="H30" s="185"/>
      <c r="I30" s="182"/>
      <c r="J30" s="74" t="str">
        <f>IF('Metric Form'!J34="","",IF('Metric Form'!J34&gt;0,'Metric Form'!J34))</f>
        <v/>
      </c>
      <c r="K30" s="183" t="str">
        <f>IF('Metric Form'!K34="","",'Metric Form'!K34-120.65)</f>
        <v/>
      </c>
      <c r="L30" s="184" t="str">
        <f>IF('Metric Form'!L34="","",'Metric Form'!L34-120.65)</f>
        <v/>
      </c>
      <c r="M30" s="70"/>
      <c r="N30" s="15"/>
      <c r="O30" s="77" t="str">
        <f>IF('Metric Form'!O34="","",IF('Metric Form'!O34&gt;0,'Metric Form'!O34))</f>
        <v/>
      </c>
      <c r="P30" s="183" t="str">
        <f>IF('Metric Form'!P34="","",'Metric Form'!P34-120.65)</f>
        <v/>
      </c>
      <c r="Q30" s="184" t="str">
        <f>IF('Metric Form'!Q34="","",'Metric Form'!Q34-57.15)</f>
        <v/>
      </c>
      <c r="R30" s="18"/>
      <c r="S30" s="15"/>
      <c r="T30" s="17"/>
      <c r="U30" s="164">
        <v>11</v>
      </c>
      <c r="V30" s="167" t="e">
        <f t="shared" si="0"/>
        <v>#VALUE!</v>
      </c>
      <c r="W30" s="167" t="e">
        <f t="shared" si="1"/>
        <v>#VALUE!</v>
      </c>
      <c r="X30" s="167" t="e">
        <f t="shared" si="2"/>
        <v>#VALUE!</v>
      </c>
      <c r="Y30" s="168" t="e">
        <f t="shared" si="3"/>
        <v>#VALUE!</v>
      </c>
      <c r="Z30" s="169" t="e">
        <f t="shared" si="4"/>
        <v>#VALUE!</v>
      </c>
      <c r="AA30" s="169" t="e">
        <f t="shared" si="5"/>
        <v>#VALUE!</v>
      </c>
      <c r="AB30" s="169" t="e">
        <f t="shared" si="6"/>
        <v>#VALUE!</v>
      </c>
      <c r="AC30" s="168" t="e">
        <f t="shared" si="7"/>
        <v>#VALUE!</v>
      </c>
      <c r="AD30" s="169" t="e">
        <f t="shared" si="8"/>
        <v>#VALUE!</v>
      </c>
      <c r="AE30" s="169" t="e">
        <f t="shared" si="9"/>
        <v>#VALUE!</v>
      </c>
      <c r="AF30" s="169" t="e">
        <f t="shared" si="10"/>
        <v>#VALUE!</v>
      </c>
      <c r="AG30" s="169" t="e">
        <f t="shared" si="11"/>
        <v>#VALUE!</v>
      </c>
      <c r="AH30" s="18"/>
    </row>
    <row r="31" spans="1:34" ht="21" customHeight="1" x14ac:dyDescent="0.2">
      <c r="A31" s="17"/>
      <c r="B31" s="181"/>
      <c r="C31" s="182"/>
      <c r="D31" s="74" t="str">
        <f>IF('Metric Form'!D35="","",IF('Metric Form'!D35&gt;0,'Metric Form'!D35))</f>
        <v/>
      </c>
      <c r="E31" s="183" t="str">
        <f>IF('Metric Form'!E35="","",'Metric Form'!E35-120.65)</f>
        <v/>
      </c>
      <c r="F31" s="184" t="str">
        <f>IF('Metric Form'!F35="","",'Metric Form'!F35-120.65)</f>
        <v/>
      </c>
      <c r="G31" s="15"/>
      <c r="H31" s="185"/>
      <c r="I31" s="182"/>
      <c r="J31" s="74" t="str">
        <f>IF('Metric Form'!J35="","",IF('Metric Form'!J35&gt;0,'Metric Form'!J35))</f>
        <v/>
      </c>
      <c r="K31" s="183" t="str">
        <f>IF('Metric Form'!K35="","",'Metric Form'!K35-120.65)</f>
        <v/>
      </c>
      <c r="L31" s="184" t="str">
        <f>IF('Metric Form'!L35="","",'Metric Form'!L35-120.65)</f>
        <v/>
      </c>
      <c r="M31" s="70"/>
      <c r="N31" s="15"/>
      <c r="O31" s="77" t="str">
        <f>IF('Metric Form'!O35="","",IF('Metric Form'!O35&gt;0,'Metric Form'!O35))</f>
        <v/>
      </c>
      <c r="P31" s="183" t="str">
        <f>IF('Metric Form'!P35="","",'Metric Form'!P35-120.65)</f>
        <v/>
      </c>
      <c r="Q31" s="184" t="str">
        <f>IF('Metric Form'!Q35="","",'Metric Form'!Q35-57.15)</f>
        <v/>
      </c>
      <c r="R31" s="18"/>
      <c r="S31" s="15"/>
      <c r="T31" s="17"/>
      <c r="U31" s="164">
        <v>12</v>
      </c>
      <c r="V31" s="167" t="e">
        <f t="shared" si="0"/>
        <v>#VALUE!</v>
      </c>
      <c r="W31" s="167" t="e">
        <f t="shared" si="1"/>
        <v>#VALUE!</v>
      </c>
      <c r="X31" s="167" t="e">
        <f t="shared" si="2"/>
        <v>#VALUE!</v>
      </c>
      <c r="Y31" s="168" t="e">
        <f t="shared" si="3"/>
        <v>#VALUE!</v>
      </c>
      <c r="Z31" s="169" t="e">
        <f t="shared" si="4"/>
        <v>#VALUE!</v>
      </c>
      <c r="AA31" s="169" t="e">
        <f t="shared" si="5"/>
        <v>#VALUE!</v>
      </c>
      <c r="AB31" s="169" t="e">
        <f t="shared" si="6"/>
        <v>#VALUE!</v>
      </c>
      <c r="AC31" s="168" t="e">
        <f t="shared" si="7"/>
        <v>#VALUE!</v>
      </c>
      <c r="AD31" s="169" t="e">
        <f>#REF!*#REF!/144</f>
        <v>#REF!</v>
      </c>
      <c r="AE31" s="169" t="e">
        <f>IF(#REF!=0,0,IF(#REF!*#REF!/144&lt;1,1,#REF!*#REF!/144))</f>
        <v>#REF!</v>
      </c>
      <c r="AF31" s="169" t="e">
        <f>$AE31*#REF!</f>
        <v>#REF!</v>
      </c>
      <c r="AG31" s="169" t="e">
        <f t="shared" si="11"/>
        <v>#REF!</v>
      </c>
      <c r="AH31" s="18"/>
    </row>
    <row r="32" spans="1:34" ht="21" customHeight="1" x14ac:dyDescent="0.2">
      <c r="A32" s="17"/>
      <c r="B32" s="181"/>
      <c r="C32" s="182"/>
      <c r="D32" s="74" t="str">
        <f>IF('Metric Form'!D36="","",IF('Metric Form'!D36&gt;0,'Metric Form'!D36))</f>
        <v/>
      </c>
      <c r="E32" s="183" t="str">
        <f>IF('Metric Form'!E36="","",'Metric Form'!E36-120.65)</f>
        <v/>
      </c>
      <c r="F32" s="184" t="str">
        <f>IF('Metric Form'!F36="","",'Metric Form'!F36-120.65)</f>
        <v/>
      </c>
      <c r="G32" s="15"/>
      <c r="H32" s="185"/>
      <c r="I32" s="182"/>
      <c r="J32" s="74" t="str">
        <f>IF('Metric Form'!J36="","",IF('Metric Form'!J36&gt;0,'Metric Form'!J36))</f>
        <v/>
      </c>
      <c r="K32" s="183" t="str">
        <f>IF('Metric Form'!K36="","",'Metric Form'!K36-120.65)</f>
        <v/>
      </c>
      <c r="L32" s="184" t="str">
        <f>IF('Metric Form'!L36="","",'Metric Form'!L36-120.65)</f>
        <v/>
      </c>
      <c r="M32" s="70"/>
      <c r="N32" s="15"/>
      <c r="O32" s="77" t="str">
        <f>IF('Metric Form'!O36="","",IF('Metric Form'!O36&gt;0,'Metric Form'!O36))</f>
        <v/>
      </c>
      <c r="P32" s="183" t="str">
        <f>IF('Metric Form'!P36="","",'Metric Form'!P36-120.65)</f>
        <v/>
      </c>
      <c r="Q32" s="184" t="str">
        <f>IF('Metric Form'!Q36="","",'Metric Form'!Q36-57.15)</f>
        <v/>
      </c>
      <c r="R32" s="18"/>
      <c r="S32" s="15"/>
      <c r="T32" s="17"/>
      <c r="U32" s="164">
        <v>13</v>
      </c>
      <c r="V32" s="167" t="e">
        <f t="shared" si="0"/>
        <v>#VALUE!</v>
      </c>
      <c r="W32" s="167" t="e">
        <f t="shared" si="1"/>
        <v>#VALUE!</v>
      </c>
      <c r="X32" s="167" t="e">
        <f t="shared" si="2"/>
        <v>#VALUE!</v>
      </c>
      <c r="Y32" s="168" t="e">
        <f t="shared" si="3"/>
        <v>#VALUE!</v>
      </c>
      <c r="Z32" s="169" t="e">
        <f t="shared" si="4"/>
        <v>#VALUE!</v>
      </c>
      <c r="AA32" s="169" t="e">
        <f t="shared" si="5"/>
        <v>#VALUE!</v>
      </c>
      <c r="AB32" s="169" t="e">
        <f t="shared" si="6"/>
        <v>#VALUE!</v>
      </c>
      <c r="AC32" s="168" t="e">
        <f t="shared" si="7"/>
        <v>#VALUE!</v>
      </c>
      <c r="AD32" s="169" t="e">
        <f>#REF!*#REF!/144</f>
        <v>#REF!</v>
      </c>
      <c r="AE32" s="169" t="e">
        <f>IF(#REF!=0,0,IF(#REF!*#REF!/144&lt;1,1,#REF!*#REF!/144))</f>
        <v>#REF!</v>
      </c>
      <c r="AF32" s="169" t="e">
        <f>$AE32*#REF!</f>
        <v>#REF!</v>
      </c>
      <c r="AG32" s="169" t="e">
        <f t="shared" si="11"/>
        <v>#REF!</v>
      </c>
      <c r="AH32" s="18"/>
    </row>
    <row r="33" spans="1:34" ht="21" customHeight="1" x14ac:dyDescent="0.2">
      <c r="A33" s="17"/>
      <c r="B33" s="181"/>
      <c r="C33" s="182"/>
      <c r="D33" s="74" t="str">
        <f>IF('Metric Form'!D37="","",IF('Metric Form'!D37&gt;0,'Metric Form'!D37))</f>
        <v/>
      </c>
      <c r="E33" s="183" t="str">
        <f>IF('Metric Form'!E37="","",'Metric Form'!E37-120.65)</f>
        <v/>
      </c>
      <c r="F33" s="184" t="str">
        <f>IF('Metric Form'!F37="","",'Metric Form'!F37-120.65)</f>
        <v/>
      </c>
      <c r="G33" s="15"/>
      <c r="H33" s="185"/>
      <c r="I33" s="182"/>
      <c r="J33" s="74" t="str">
        <f>IF('Metric Form'!J37="","",IF('Metric Form'!J37&gt;0,'Metric Form'!J37))</f>
        <v/>
      </c>
      <c r="K33" s="183" t="str">
        <f>IF('Metric Form'!K37="","",'Metric Form'!K37-120.65)</f>
        <v/>
      </c>
      <c r="L33" s="184" t="str">
        <f>IF('Metric Form'!L37="","",'Metric Form'!L37-120.65)</f>
        <v/>
      </c>
      <c r="M33" s="70"/>
      <c r="N33" s="15"/>
      <c r="O33" s="77" t="str">
        <f>IF('Metric Form'!O37="","",IF('Metric Form'!O37&gt;0,'Metric Form'!O37))</f>
        <v/>
      </c>
      <c r="P33" s="183" t="str">
        <f>IF('Metric Form'!P37="","",'Metric Form'!P37-120.65)</f>
        <v/>
      </c>
      <c r="Q33" s="184" t="str">
        <f>IF('Metric Form'!Q37="","",'Metric Form'!Q37-57.15)</f>
        <v/>
      </c>
      <c r="R33" s="18"/>
      <c r="S33" s="15"/>
      <c r="T33" s="17"/>
      <c r="U33" s="164">
        <v>14</v>
      </c>
      <c r="V33" s="167" t="e">
        <f t="shared" si="0"/>
        <v>#VALUE!</v>
      </c>
      <c r="W33" s="167" t="e">
        <f t="shared" si="1"/>
        <v>#VALUE!</v>
      </c>
      <c r="X33" s="167" t="e">
        <f t="shared" si="2"/>
        <v>#VALUE!</v>
      </c>
      <c r="Y33" s="168" t="e">
        <f t="shared" si="3"/>
        <v>#VALUE!</v>
      </c>
      <c r="Z33" s="169" t="e">
        <f t="shared" si="4"/>
        <v>#VALUE!</v>
      </c>
      <c r="AA33" s="169" t="e">
        <f t="shared" si="5"/>
        <v>#VALUE!</v>
      </c>
      <c r="AB33" s="169" t="e">
        <f t="shared" si="6"/>
        <v>#VALUE!</v>
      </c>
      <c r="AC33" s="168" t="e">
        <f t="shared" si="7"/>
        <v>#VALUE!</v>
      </c>
      <c r="AD33" s="169" t="e">
        <f>#REF!*#REF!/144</f>
        <v>#REF!</v>
      </c>
      <c r="AE33" s="169" t="e">
        <f>IF(#REF!=0,0,IF(#REF!*#REF!/144&lt;1,1,#REF!*#REF!/144))</f>
        <v>#REF!</v>
      </c>
      <c r="AF33" s="169" t="e">
        <f>$AE33*#REF!</f>
        <v>#REF!</v>
      </c>
      <c r="AG33" s="169" t="e">
        <f t="shared" si="11"/>
        <v>#REF!</v>
      </c>
      <c r="AH33" s="18"/>
    </row>
    <row r="34" spans="1:34" ht="21" customHeight="1" thickBot="1" x14ac:dyDescent="0.25">
      <c r="A34" s="82"/>
      <c r="B34" s="186"/>
      <c r="C34" s="187"/>
      <c r="D34" s="85" t="str">
        <f>IF('Metric Form'!D38="","",IF('Metric Form'!D38&gt;0,'Metric Form'!D38))</f>
        <v/>
      </c>
      <c r="E34" s="188" t="str">
        <f>IF('Metric Form'!E38="","",'Metric Form'!E38-120.65)</f>
        <v/>
      </c>
      <c r="F34" s="189" t="str">
        <f>IF('Metric Form'!F38="","",'Metric Form'!F38-120.65)</f>
        <v/>
      </c>
      <c r="G34" s="15"/>
      <c r="H34" s="190"/>
      <c r="I34" s="187"/>
      <c r="J34" s="85" t="str">
        <f>IF('Metric Form'!J38="","",IF('Metric Form'!J38&gt;0,'Metric Form'!J38))</f>
        <v/>
      </c>
      <c r="K34" s="188" t="str">
        <f>IF('Metric Form'!K38="","",'Metric Form'!K38-120.65)</f>
        <v/>
      </c>
      <c r="L34" s="189" t="str">
        <f>IF('Metric Form'!L38="","",'Metric Form'!L38-120.65)</f>
        <v/>
      </c>
      <c r="M34" s="70"/>
      <c r="N34" s="15"/>
      <c r="O34" s="89" t="str">
        <f>IF('Metric Form'!O38="","",IF('Metric Form'!O38&gt;0,'Metric Form'!O38))</f>
        <v/>
      </c>
      <c r="P34" s="188" t="str">
        <f>IF('Metric Form'!P38="","",'Metric Form'!P38-120.65)</f>
        <v/>
      </c>
      <c r="Q34" s="189" t="str">
        <f>IF('Metric Form'!Q38="","",'Metric Form'!Q38-57.15)</f>
        <v/>
      </c>
      <c r="R34" s="18"/>
      <c r="S34" s="15"/>
      <c r="T34" s="17"/>
      <c r="U34" s="164">
        <v>15</v>
      </c>
      <c r="V34" s="167" t="e">
        <f t="shared" si="0"/>
        <v>#VALUE!</v>
      </c>
      <c r="W34" s="167" t="e">
        <f t="shared" si="1"/>
        <v>#VALUE!</v>
      </c>
      <c r="X34" s="167" t="e">
        <f t="shared" si="2"/>
        <v>#VALUE!</v>
      </c>
      <c r="Y34" s="168" t="e">
        <f t="shared" si="3"/>
        <v>#VALUE!</v>
      </c>
      <c r="Z34" s="169" t="e">
        <f t="shared" si="4"/>
        <v>#VALUE!</v>
      </c>
      <c r="AA34" s="169" t="e">
        <f t="shared" si="5"/>
        <v>#VALUE!</v>
      </c>
      <c r="AB34" s="169" t="e">
        <f t="shared" si="6"/>
        <v>#VALUE!</v>
      </c>
      <c r="AC34" s="168" t="e">
        <f t="shared" si="7"/>
        <v>#VALUE!</v>
      </c>
      <c r="AD34" s="169" t="e">
        <f>#REF!*#REF!/144</f>
        <v>#REF!</v>
      </c>
      <c r="AE34" s="169" t="e">
        <f>IF(#REF!=0,0,IF(#REF!*#REF!/144&lt;1,1,#REF!*#REF!/144))</f>
        <v>#REF!</v>
      </c>
      <c r="AF34" s="169" t="e">
        <f>$AE34*#REF!</f>
        <v>#REF!</v>
      </c>
      <c r="AG34" s="169" t="e">
        <f t="shared" si="11"/>
        <v>#REF!</v>
      </c>
      <c r="AH34" s="18"/>
    </row>
    <row r="35" spans="1:34" ht="18" customHeight="1" x14ac:dyDescent="0.15">
      <c r="A35" s="17"/>
      <c r="B35" s="25"/>
      <c r="C35" s="15"/>
      <c r="D35" s="90">
        <f>SUM(D20:D34)</f>
        <v>0</v>
      </c>
      <c r="E35" s="91"/>
      <c r="F35" s="91"/>
      <c r="G35" s="15"/>
      <c r="H35" s="25"/>
      <c r="I35" s="15"/>
      <c r="J35" s="90">
        <f>SUM(J20:J34)</f>
        <v>0</v>
      </c>
      <c r="K35" s="91"/>
      <c r="L35" s="91"/>
      <c r="M35" s="15"/>
      <c r="N35" s="15"/>
      <c r="R35" s="18"/>
      <c r="S35" s="15"/>
      <c r="T35" s="17"/>
      <c r="U35" s="164"/>
      <c r="V35" s="15"/>
      <c r="W35" s="15"/>
      <c r="X35" s="15"/>
      <c r="Y35" s="191" t="e">
        <f>SUM(Y20:Y34)</f>
        <v>#VALUE!</v>
      </c>
      <c r="Z35" s="192"/>
      <c r="AA35" s="192"/>
      <c r="AB35" s="192"/>
      <c r="AC35" s="191" t="e">
        <f>SUM(AC20:AC34)</f>
        <v>#VALUE!</v>
      </c>
      <c r="AD35" s="192"/>
      <c r="AE35" s="192"/>
      <c r="AF35" s="192"/>
      <c r="AG35" s="191" t="e">
        <f>SUM(AG20:AG34)</f>
        <v>#VALUE!</v>
      </c>
      <c r="AH35" s="18"/>
    </row>
    <row r="36" spans="1:34" ht="18" customHeight="1" thickBot="1" x14ac:dyDescent="0.2">
      <c r="A36" s="17"/>
      <c r="B36"/>
      <c r="C36"/>
      <c r="D36"/>
      <c r="E36"/>
      <c r="F36"/>
      <c r="G36"/>
      <c r="H36" s="15"/>
      <c r="I36"/>
      <c r="J36"/>
      <c r="K36"/>
      <c r="L36"/>
      <c r="M36" s="115"/>
      <c r="N36"/>
      <c r="R36" s="18"/>
      <c r="S36" s="15"/>
      <c r="T36" s="17"/>
      <c r="U36" s="164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/>
    </row>
    <row r="37" spans="1:34" ht="18" customHeight="1" x14ac:dyDescent="0.15">
      <c r="A37" s="17"/>
      <c r="B37" s="2"/>
      <c r="C37"/>
      <c r="D37"/>
      <c r="E37"/>
      <c r="F37"/>
      <c r="G37"/>
      <c r="H37" s="15"/>
      <c r="I37"/>
      <c r="J37"/>
      <c r="K37"/>
      <c r="L37"/>
      <c r="M37" s="139"/>
      <c r="N37"/>
      <c r="O37" s="324" t="s">
        <v>126</v>
      </c>
      <c r="P37" s="325"/>
      <c r="Q37" s="326"/>
      <c r="R37" s="18"/>
      <c r="S37" s="15"/>
      <c r="T37" s="17"/>
      <c r="U37" s="164"/>
      <c r="V37" s="167" t="e">
        <f>#REF!*#REF!/144</f>
        <v>#REF!</v>
      </c>
      <c r="W37" s="167" t="e">
        <f>IF(#REF!=0,0,IF(#REF!*#REF!/144&lt;1,1,#REF!*#REF!/144))</f>
        <v>#REF!</v>
      </c>
      <c r="X37" s="167" t="e">
        <f>$W37*#REF!</f>
        <v>#REF!</v>
      </c>
      <c r="Y37" s="168" t="e">
        <f>CEILING(X37,0.25)</f>
        <v>#REF!</v>
      </c>
      <c r="Z37" s="169" t="e">
        <f>#REF!*#REF!/144</f>
        <v>#REF!</v>
      </c>
      <c r="AA37" s="169" t="e">
        <f>IF(#REF!=0,0,IF(#REF!*#REF!/144&lt;1,1,#REF!*#REF!/144))</f>
        <v>#REF!</v>
      </c>
      <c r="AB37" s="169" t="e">
        <f>$AA37*#REF!</f>
        <v>#REF!</v>
      </c>
      <c r="AC37" s="169" t="e">
        <f>CEILING(AB37,0.5)</f>
        <v>#REF!</v>
      </c>
      <c r="AD37" s="15"/>
      <c r="AE37" s="15"/>
      <c r="AF37" s="15"/>
      <c r="AG37" s="15"/>
      <c r="AH37" s="18"/>
    </row>
    <row r="38" spans="1:34" ht="18" customHeight="1" x14ac:dyDescent="0.2">
      <c r="A38" s="165"/>
      <c r="B38" s="2"/>
      <c r="C38"/>
      <c r="D38"/>
      <c r="E38"/>
      <c r="F38"/>
      <c r="G38"/>
      <c r="H38" s="15"/>
      <c r="I38"/>
      <c r="J38"/>
      <c r="K38"/>
      <c r="L38"/>
      <c r="M38" s="139"/>
      <c r="N38"/>
      <c r="O38" s="432" t="s">
        <v>128</v>
      </c>
      <c r="P38" s="433"/>
      <c r="Q38" s="96">
        <f>D35+J35</f>
        <v>0</v>
      </c>
      <c r="R38" s="18"/>
      <c r="S38" s="15"/>
      <c r="T38" s="17"/>
      <c r="V38" s="167" t="e">
        <f>#REF!*#REF!/144</f>
        <v>#REF!</v>
      </c>
      <c r="W38" s="167" t="e">
        <f>IF(#REF!=0,0,IF(#REF!*#REF!/144&lt;1,1,#REF!*#REF!/144))</f>
        <v>#REF!</v>
      </c>
      <c r="X38" s="167" t="e">
        <f>$W38*#REF!</f>
        <v>#REF!</v>
      </c>
      <c r="Y38" s="168" t="e">
        <f>CEILING(X38,0.25)</f>
        <v>#REF!</v>
      </c>
      <c r="AC38" s="193" t="e">
        <f>SUM(AC37:AC37)</f>
        <v>#REF!</v>
      </c>
      <c r="AH38" s="18"/>
    </row>
    <row r="39" spans="1:34" ht="18" customHeight="1" x14ac:dyDescent="0.2">
      <c r="A39" s="17"/>
      <c r="B39" s="2"/>
      <c r="C39"/>
      <c r="D39"/>
      <c r="E39"/>
      <c r="F39"/>
      <c r="G39"/>
      <c r="H39" s="15"/>
      <c r="I39"/>
      <c r="J39"/>
      <c r="K39"/>
      <c r="L39"/>
      <c r="M39" s="139"/>
      <c r="N39"/>
      <c r="O39" s="434" t="s">
        <v>130</v>
      </c>
      <c r="P39" s="435"/>
      <c r="Q39" s="105">
        <f>SUM(O20:O34)</f>
        <v>0</v>
      </c>
      <c r="R39" s="18"/>
      <c r="S39" s="15"/>
      <c r="T39" s="17"/>
      <c r="V39" s="167" t="e">
        <f>#REF!*#REF!/144</f>
        <v>#REF!</v>
      </c>
      <c r="W39" s="167" t="e">
        <f>IF(#REF!=0,0,IF(#REF!*#REF!/144&lt;1,1,#REF!*#REF!/144))</f>
        <v>#REF!</v>
      </c>
      <c r="X39" s="167" t="e">
        <f>$W39*#REF!</f>
        <v>#REF!</v>
      </c>
      <c r="Y39" s="168" t="e">
        <f>CEILING(X39,0.25)</f>
        <v>#REF!</v>
      </c>
      <c r="Z39" s="169"/>
      <c r="AA39" s="169"/>
      <c r="AB39" s="169"/>
      <c r="AC39" s="169"/>
      <c r="AH39" s="18"/>
    </row>
    <row r="40" spans="1:34" ht="18" customHeight="1" thickBot="1" x14ac:dyDescent="0.25">
      <c r="A40" s="17"/>
      <c r="B40" s="2"/>
      <c r="C40"/>
      <c r="D40"/>
      <c r="E40"/>
      <c r="F40"/>
      <c r="G40"/>
      <c r="H40" s="15"/>
      <c r="I40"/>
      <c r="J40"/>
      <c r="K40"/>
      <c r="L40"/>
      <c r="M40" s="139"/>
      <c r="N40"/>
      <c r="O40" s="430" t="s">
        <v>126</v>
      </c>
      <c r="P40" s="431"/>
      <c r="Q40" s="215">
        <f>SUM(Q38:Q39)</f>
        <v>0</v>
      </c>
      <c r="R40" s="18"/>
      <c r="S40" s="15"/>
      <c r="T40" s="17"/>
      <c r="V40" s="167"/>
      <c r="W40" s="167"/>
      <c r="X40" s="167"/>
      <c r="Y40" s="168"/>
      <c r="Z40" s="169"/>
      <c r="AA40" s="169"/>
      <c r="AB40" s="169"/>
      <c r="AC40" s="169"/>
      <c r="AH40" s="18"/>
    </row>
    <row r="41" spans="1:34" ht="18" customHeight="1" x14ac:dyDescent="0.15">
      <c r="A41" s="17"/>
      <c r="B41" s="2"/>
      <c r="C41"/>
      <c r="D41"/>
      <c r="E41"/>
      <c r="F41"/>
      <c r="G41"/>
      <c r="H41" s="15"/>
      <c r="I41"/>
      <c r="J41"/>
      <c r="K41"/>
      <c r="L41"/>
      <c r="M41" s="139"/>
      <c r="N41"/>
      <c r="O41"/>
      <c r="P41"/>
      <c r="Q41"/>
      <c r="R41" s="18"/>
      <c r="S41" s="15"/>
      <c r="T41" s="17"/>
      <c r="V41" s="167"/>
      <c r="W41" s="167"/>
      <c r="X41" s="167"/>
      <c r="Y41" s="168"/>
      <c r="Z41" s="169"/>
      <c r="AA41" s="169"/>
      <c r="AB41" s="169"/>
      <c r="AC41" s="169"/>
      <c r="AH41" s="18"/>
    </row>
    <row r="42" spans="1:34" ht="18" customHeight="1" x14ac:dyDescent="0.15">
      <c r="A42" s="17"/>
      <c r="B42" s="15"/>
      <c r="C42" s="15"/>
      <c r="D42" s="92"/>
      <c r="E42" s="91"/>
      <c r="F42" s="91"/>
      <c r="G42" s="139"/>
      <c r="H42" s="15"/>
      <c r="I42"/>
      <c r="J42"/>
      <c r="K42"/>
      <c r="L42"/>
      <c r="M42" s="15"/>
      <c r="N42"/>
      <c r="O42"/>
      <c r="P42" s="2"/>
      <c r="Q42"/>
      <c r="R42" s="18"/>
      <c r="S42" s="15"/>
      <c r="T42" s="17"/>
      <c r="U42" s="164"/>
      <c r="V42" s="167">
        <f>E38*F38/144</f>
        <v>0</v>
      </c>
      <c r="W42" s="167">
        <f>IF(D38=0,0,IF(E38*F38/144&lt;1,1,E38*F38/144))</f>
        <v>0</v>
      </c>
      <c r="X42" s="167">
        <f>$W42*$D38</f>
        <v>0</v>
      </c>
      <c r="Y42" s="168">
        <f>CEILING(X42,0.25)</f>
        <v>0</v>
      </c>
      <c r="Z42" s="169">
        <f>J39*K39/144</f>
        <v>0</v>
      </c>
      <c r="AA42" s="169">
        <f>IF(I39=0,0,IF(J39*K39/144&lt;1,1,J39*K39/144))</f>
        <v>0</v>
      </c>
      <c r="AB42" s="169">
        <f>$AA42*$I39</f>
        <v>0</v>
      </c>
      <c r="AC42" s="169">
        <f>CEILING(AB42,0.5)</f>
        <v>0</v>
      </c>
      <c r="AD42" s="15"/>
      <c r="AE42" s="15"/>
      <c r="AF42" s="15"/>
      <c r="AG42" s="15"/>
      <c r="AH42" s="18"/>
    </row>
    <row r="43" spans="1:34" ht="18" customHeight="1" x14ac:dyDescent="0.15">
      <c r="A43" s="104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62" t="s">
        <v>65</v>
      </c>
      <c r="R43" s="145"/>
      <c r="S43" s="15"/>
    </row>
  </sheetData>
  <sheetProtection password="C41E" sheet="1" objects="1" scenarios="1"/>
  <mergeCells count="29">
    <mergeCell ref="O40:P40"/>
    <mergeCell ref="B18:C18"/>
    <mergeCell ref="H18:I18"/>
    <mergeCell ref="O37:Q37"/>
    <mergeCell ref="O38:P38"/>
    <mergeCell ref="O39:P39"/>
    <mergeCell ref="P8:Q8"/>
    <mergeCell ref="B10:C10"/>
    <mergeCell ref="D10:F10"/>
    <mergeCell ref="L10:O10"/>
    <mergeCell ref="B8:C8"/>
    <mergeCell ref="B16:F16"/>
    <mergeCell ref="H16:L16"/>
    <mergeCell ref="O16:Q16"/>
    <mergeCell ref="P10:Q10"/>
    <mergeCell ref="B17:D17"/>
    <mergeCell ref="E17:F17"/>
    <mergeCell ref="H17:J17"/>
    <mergeCell ref="K17:L17"/>
    <mergeCell ref="O17:P17"/>
    <mergeCell ref="L12:M12"/>
    <mergeCell ref="N12:Q12"/>
    <mergeCell ref="B2:E2"/>
    <mergeCell ref="B3:E3"/>
    <mergeCell ref="B4:E4"/>
    <mergeCell ref="B5:E5"/>
    <mergeCell ref="B12:C12"/>
    <mergeCell ref="D12:F12"/>
    <mergeCell ref="D8:F8"/>
  </mergeCells>
  <phoneticPr fontId="0" type="noConversion"/>
  <printOptions horizontalCentered="1"/>
  <pageMargins left="0.39370078740157483" right="0.39370078740157483" top="1.1811023622047245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42"/>
  <sheetViews>
    <sheetView showGridLines="0" showRuler="0" zoomScale="75" workbookViewId="0">
      <selection activeCell="E19" sqref="E19"/>
    </sheetView>
  </sheetViews>
  <sheetFormatPr baseColWidth="10" defaultColWidth="8.83203125" defaultRowHeight="13" x14ac:dyDescent="0.15"/>
  <cols>
    <col min="1" max="1" width="1.33203125" style="16" customWidth="1"/>
    <col min="2" max="3" width="6.5" style="16" customWidth="1"/>
    <col min="4" max="4" width="8.6640625" style="16" customWidth="1"/>
    <col min="5" max="6" width="14.6640625" style="16" customWidth="1"/>
    <col min="7" max="7" width="6.83203125" style="16" customWidth="1"/>
    <col min="8" max="9" width="6.6640625" style="16" customWidth="1"/>
    <col min="10" max="10" width="8.6640625" style="16" customWidth="1"/>
    <col min="11" max="12" width="14.6640625" style="16" customWidth="1"/>
    <col min="13" max="13" width="1.83203125" style="16" customWidth="1"/>
    <col min="14" max="14" width="8.5" style="16" customWidth="1"/>
    <col min="15" max="15" width="8.6640625" style="16" customWidth="1"/>
    <col min="16" max="17" width="14.6640625" style="16" customWidth="1"/>
    <col min="18" max="18" width="1.33203125" style="16" customWidth="1"/>
    <col min="19" max="19" width="5.5" style="16" customWidth="1"/>
    <col min="20" max="20" width="9.1640625" style="16" hidden="1" customWidth="1"/>
    <col min="21" max="21" width="5" style="171" hidden="1" customWidth="1"/>
    <col min="22" max="22" width="4" style="16" hidden="1" customWidth="1"/>
    <col min="23" max="23" width="4.6640625" style="16" hidden="1" customWidth="1"/>
    <col min="24" max="24" width="5.1640625" style="16" hidden="1" customWidth="1"/>
    <col min="25" max="25" width="8" style="16" hidden="1" customWidth="1"/>
    <col min="26" max="26" width="3.6640625" style="16" hidden="1" customWidth="1"/>
    <col min="27" max="27" width="6.5" style="16" hidden="1" customWidth="1"/>
    <col min="28" max="28" width="3.6640625" style="16" hidden="1" customWidth="1"/>
    <col min="29" max="29" width="8.1640625" style="16" hidden="1" customWidth="1"/>
    <col min="30" max="30" width="5.5" style="16" hidden="1" customWidth="1"/>
    <col min="31" max="31" width="6" style="16" hidden="1" customWidth="1"/>
    <col min="32" max="32" width="6.1640625" style="16" hidden="1" customWidth="1"/>
    <col min="33" max="33" width="8.5" style="16" hidden="1" customWidth="1"/>
    <col min="34" max="34" width="6.33203125" style="16" hidden="1" customWidth="1"/>
    <col min="35" max="36" width="6.1640625" style="16" customWidth="1"/>
    <col min="37" max="37" width="5.1640625" style="16" customWidth="1"/>
    <col min="38" max="38" width="6.83203125" style="16" customWidth="1"/>
    <col min="39" max="39" width="6.5" style="16" customWidth="1"/>
    <col min="40" max="40" width="16" style="16" customWidth="1"/>
    <col min="41" max="16384" width="8.83203125" style="16"/>
  </cols>
  <sheetData>
    <row r="1" spans="1:34" ht="15" customHeight="1" thickBot="1" x14ac:dyDescent="0.2">
      <c r="A1" s="11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4"/>
      <c r="S1" s="15"/>
    </row>
    <row r="2" spans="1:34" ht="15" customHeight="1" x14ac:dyDescent="0.2">
      <c r="A2" s="17"/>
      <c r="B2" s="417" t="s">
        <v>187</v>
      </c>
      <c r="C2" s="418"/>
      <c r="D2" s="418"/>
      <c r="E2" s="419"/>
      <c r="F2" s="15"/>
      <c r="G2" s="15"/>
      <c r="H2" s="15"/>
      <c r="I2" s="15"/>
      <c r="J2" s="15"/>
      <c r="K2" s="15"/>
      <c r="L2" s="15"/>
      <c r="M2" s="15"/>
      <c r="N2" s="15"/>
      <c r="O2"/>
      <c r="P2"/>
      <c r="Q2"/>
      <c r="R2" s="18"/>
      <c r="S2" s="15"/>
    </row>
    <row r="3" spans="1:34" ht="15" customHeight="1" thickBot="1" x14ac:dyDescent="0.25">
      <c r="A3" s="17"/>
      <c r="B3" s="420" t="s">
        <v>188</v>
      </c>
      <c r="C3" s="421"/>
      <c r="D3" s="421"/>
      <c r="E3" s="422"/>
      <c r="F3" s="15"/>
      <c r="G3" s="15"/>
      <c r="H3" s="15"/>
      <c r="I3" s="15"/>
      <c r="J3" s="15"/>
      <c r="K3" s="15"/>
      <c r="L3" s="15"/>
      <c r="M3" s="15"/>
      <c r="N3" s="15"/>
      <c r="O3"/>
      <c r="P3"/>
      <c r="Q3"/>
      <c r="R3" s="18"/>
      <c r="S3" s="15"/>
    </row>
    <row r="4" spans="1:34" ht="15" customHeight="1" x14ac:dyDescent="0.15">
      <c r="A4" s="17"/>
      <c r="B4" s="425" t="s">
        <v>331</v>
      </c>
      <c r="C4" s="426"/>
      <c r="D4" s="426"/>
      <c r="E4" s="427"/>
      <c r="F4" s="15"/>
      <c r="G4" s="15"/>
      <c r="H4" s="15"/>
      <c r="I4" s="15"/>
      <c r="J4" s="15"/>
      <c r="K4" s="15"/>
      <c r="L4" s="15"/>
      <c r="M4" s="15"/>
      <c r="N4" s="15"/>
      <c r="O4"/>
      <c r="P4"/>
      <c r="Q4"/>
      <c r="R4" s="18"/>
      <c r="S4" s="15"/>
    </row>
    <row r="5" spans="1:34" ht="17" customHeight="1" thickBot="1" x14ac:dyDescent="0.25">
      <c r="A5" s="17"/>
      <c r="B5" s="395">
        <f>'Metric Form'!B5</f>
        <v>0</v>
      </c>
      <c r="C5" s="396"/>
      <c r="D5" s="396"/>
      <c r="E5" s="397"/>
      <c r="F5" s="15"/>
      <c r="G5" s="15"/>
      <c r="H5" s="15"/>
      <c r="I5" s="15"/>
      <c r="J5" s="15"/>
      <c r="K5" s="15"/>
      <c r="L5" s="15"/>
      <c r="M5" s="15"/>
      <c r="N5" s="15"/>
      <c r="O5"/>
      <c r="P5"/>
      <c r="Q5"/>
      <c r="R5" s="18"/>
      <c r="S5" s="15"/>
    </row>
    <row r="6" spans="1:34" ht="15" customHeight="1" x14ac:dyDescent="0.15">
      <c r="A6" s="17"/>
      <c r="B6" s="19"/>
      <c r="C6" s="19"/>
      <c r="D6" s="19"/>
      <c r="E6" s="19"/>
      <c r="F6" s="15"/>
      <c r="G6" s="15"/>
      <c r="H6" s="15"/>
      <c r="I6" s="15"/>
      <c r="J6" s="15"/>
      <c r="K6" s="15"/>
      <c r="L6" s="15"/>
      <c r="M6" s="15"/>
      <c r="N6" s="15"/>
      <c r="O6"/>
      <c r="P6"/>
      <c r="Q6"/>
      <c r="R6" s="18"/>
      <c r="S6" s="15"/>
    </row>
    <row r="7" spans="1:34" ht="15" customHeight="1" x14ac:dyDescent="0.1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8"/>
      <c r="S7" s="15"/>
    </row>
    <row r="8" spans="1:34" ht="18" customHeight="1" x14ac:dyDescent="0.2">
      <c r="A8" s="17"/>
      <c r="B8" s="376" t="s">
        <v>332</v>
      </c>
      <c r="C8" s="377"/>
      <c r="D8" s="390" t="str">
        <f>'Metric Form'!D8</f>
        <v>Cabinetmart Inc</v>
      </c>
      <c r="E8" s="391"/>
      <c r="F8" s="391"/>
      <c r="G8" s="15"/>
      <c r="H8" s="20"/>
      <c r="I8" s="21"/>
      <c r="J8" s="21"/>
      <c r="K8" s="21"/>
      <c r="L8" s="15"/>
      <c r="M8" s="15"/>
      <c r="N8" s="15"/>
      <c r="O8" s="22" t="s">
        <v>333</v>
      </c>
      <c r="P8" s="423">
        <f ca="1">NOW()</f>
        <v>43453.491455555559</v>
      </c>
      <c r="Q8" s="424"/>
      <c r="R8" s="18"/>
      <c r="S8" s="15"/>
    </row>
    <row r="9" spans="1:34" ht="15" customHeight="1" x14ac:dyDescent="0.15">
      <c r="A9" s="17"/>
      <c r="B9" s="2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4"/>
      <c r="P9" s="15"/>
      <c r="Q9" s="15"/>
      <c r="R9" s="18"/>
      <c r="S9" s="15"/>
    </row>
    <row r="10" spans="1:34" ht="18" customHeight="1" x14ac:dyDescent="0.2">
      <c r="A10" s="17"/>
      <c r="B10" s="376" t="s">
        <v>334</v>
      </c>
      <c r="C10" s="377"/>
      <c r="D10" s="390">
        <f>'Metric Form'!D10</f>
        <v>0</v>
      </c>
      <c r="E10" s="391"/>
      <c r="F10" s="391"/>
      <c r="G10" s="15"/>
      <c r="I10" s="15"/>
      <c r="J10" s="15"/>
      <c r="K10" s="15"/>
      <c r="L10" s="376" t="s">
        <v>335</v>
      </c>
      <c r="M10" s="392"/>
      <c r="N10" s="392"/>
      <c r="O10" s="393"/>
      <c r="P10" s="394">
        <f>'Metric Form'!P10</f>
        <v>0</v>
      </c>
      <c r="Q10" s="394"/>
      <c r="R10" s="18"/>
      <c r="S10" s="15"/>
    </row>
    <row r="11" spans="1:34" ht="15" customHeight="1" x14ac:dyDescent="0.15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15"/>
    </row>
    <row r="12" spans="1:34" ht="18" customHeight="1" x14ac:dyDescent="0.2">
      <c r="A12" s="17"/>
      <c r="B12" s="376" t="s">
        <v>349</v>
      </c>
      <c r="C12" s="377"/>
      <c r="D12" s="378">
        <f>'Metric Form'!D12</f>
        <v>0</v>
      </c>
      <c r="E12" s="379"/>
      <c r="F12" s="380"/>
      <c r="G12" s="15"/>
      <c r="H12" s="15"/>
      <c r="I12" s="15"/>
      <c r="J12" s="15"/>
      <c r="K12" s="15"/>
      <c r="L12" s="381" t="s">
        <v>336</v>
      </c>
      <c r="M12" s="382"/>
      <c r="N12" s="378">
        <f>'Metric Form'!N12</f>
        <v>0</v>
      </c>
      <c r="O12" s="379"/>
      <c r="P12" s="379"/>
      <c r="Q12" s="380"/>
      <c r="R12" s="18"/>
      <c r="S12" s="15"/>
    </row>
    <row r="13" spans="1:34" ht="15" customHeight="1" x14ac:dyDescent="0.15">
      <c r="A13" s="17"/>
      <c r="B13" s="25"/>
      <c r="C13" s="25"/>
      <c r="D13" s="25"/>
      <c r="E13" s="25"/>
      <c r="F13" s="2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8"/>
      <c r="S13" s="15"/>
    </row>
    <row r="14" spans="1:34" ht="15" customHeight="1" thickBot="1" x14ac:dyDescent="0.2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8"/>
      <c r="S14" s="15"/>
      <c r="T14" s="11"/>
      <c r="U14" s="16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4"/>
    </row>
    <row r="15" spans="1:34" ht="18" customHeight="1" x14ac:dyDescent="0.15">
      <c r="A15" s="17"/>
      <c r="B15" s="324" t="s">
        <v>189</v>
      </c>
      <c r="C15" s="337"/>
      <c r="D15" s="337"/>
      <c r="E15" s="337"/>
      <c r="F15" s="338"/>
      <c r="G15" s="15"/>
      <c r="H15" s="324" t="s">
        <v>190</v>
      </c>
      <c r="I15" s="337"/>
      <c r="J15" s="337"/>
      <c r="K15" s="337"/>
      <c r="L15" s="338"/>
      <c r="M15" s="41"/>
      <c r="N15" s="15"/>
      <c r="O15" s="324" t="s">
        <v>191</v>
      </c>
      <c r="P15" s="337"/>
      <c r="Q15" s="338"/>
      <c r="R15" s="18"/>
      <c r="S15" s="15"/>
      <c r="T15" s="17"/>
      <c r="U15" s="164"/>
      <c r="V15" s="15"/>
      <c r="W15" s="15"/>
      <c r="X15" s="15"/>
      <c r="Y15" s="15" t="s">
        <v>155</v>
      </c>
      <c r="Z15" s="15"/>
      <c r="AA15" s="15"/>
      <c r="AB15" s="15"/>
      <c r="AC15" s="15" t="s">
        <v>155</v>
      </c>
      <c r="AD15" s="15"/>
      <c r="AE15" s="15"/>
      <c r="AF15" s="15"/>
      <c r="AG15" s="15" t="s">
        <v>155</v>
      </c>
      <c r="AH15" s="18"/>
    </row>
    <row r="16" spans="1:34" ht="17.25" customHeight="1" x14ac:dyDescent="0.2">
      <c r="A16" s="17"/>
      <c r="B16" s="371" t="s">
        <v>348</v>
      </c>
      <c r="C16" s="372"/>
      <c r="D16" s="373"/>
      <c r="E16" s="414"/>
      <c r="F16" s="415"/>
      <c r="G16" s="15"/>
      <c r="H16" s="371" t="s">
        <v>117</v>
      </c>
      <c r="I16" s="372"/>
      <c r="J16" s="373"/>
      <c r="K16" s="414"/>
      <c r="L16" s="415"/>
      <c r="M16" s="21"/>
      <c r="N16" s="15"/>
      <c r="O16" s="416" t="s">
        <v>162</v>
      </c>
      <c r="P16" s="377"/>
      <c r="Q16" s="241">
        <f>'Metric Form'!Q21</f>
        <v>0</v>
      </c>
      <c r="R16" s="18"/>
      <c r="S16" s="15"/>
      <c r="T16" s="17"/>
      <c r="U16" s="164" t="s">
        <v>156</v>
      </c>
      <c r="V16" s="15"/>
      <c r="W16" s="15"/>
      <c r="X16" s="15"/>
      <c r="Y16" s="15" t="s">
        <v>280</v>
      </c>
      <c r="Z16" s="15"/>
      <c r="AA16" s="15"/>
      <c r="AB16" s="15"/>
      <c r="AC16" s="15" t="s">
        <v>283</v>
      </c>
      <c r="AD16" s="15"/>
      <c r="AE16" s="15"/>
      <c r="AF16" s="15"/>
      <c r="AG16" s="15" t="s">
        <v>286</v>
      </c>
      <c r="AH16" s="18"/>
    </row>
    <row r="17" spans="1:34" ht="18" customHeight="1" x14ac:dyDescent="0.15">
      <c r="A17" s="17"/>
      <c r="B17" s="353" t="s">
        <v>118</v>
      </c>
      <c r="C17" s="354"/>
      <c r="D17" s="44" t="s">
        <v>119</v>
      </c>
      <c r="E17" s="44" t="s">
        <v>192</v>
      </c>
      <c r="F17" s="45" t="s">
        <v>193</v>
      </c>
      <c r="G17" s="15"/>
      <c r="H17" s="355" t="s">
        <v>118</v>
      </c>
      <c r="I17" s="356"/>
      <c r="J17" s="46" t="s">
        <v>119</v>
      </c>
      <c r="K17" s="46" t="s">
        <v>192</v>
      </c>
      <c r="L17" s="47" t="s">
        <v>193</v>
      </c>
      <c r="M17" s="48"/>
      <c r="N17" s="15"/>
      <c r="O17" s="49" t="s">
        <v>119</v>
      </c>
      <c r="P17" s="50" t="s">
        <v>192</v>
      </c>
      <c r="Q17" s="51" t="s">
        <v>193</v>
      </c>
      <c r="R17" s="18"/>
      <c r="S17" s="15"/>
      <c r="T17" s="104"/>
      <c r="U17" s="166" t="s">
        <v>157</v>
      </c>
      <c r="V17" s="140"/>
      <c r="W17" s="140"/>
      <c r="X17" s="140"/>
      <c r="Y17" s="140" t="s">
        <v>128</v>
      </c>
      <c r="Z17" s="140"/>
      <c r="AA17" s="140"/>
      <c r="AB17" s="140"/>
      <c r="AC17" s="140" t="s">
        <v>128</v>
      </c>
      <c r="AD17" s="140"/>
      <c r="AE17" s="140"/>
      <c r="AF17" s="140"/>
      <c r="AG17" s="140" t="s">
        <v>158</v>
      </c>
      <c r="AH17" s="145"/>
    </row>
    <row r="18" spans="1:34" ht="12" customHeight="1" thickBot="1" x14ac:dyDescent="0.2">
      <c r="A18" s="17"/>
      <c r="B18" s="52" t="s">
        <v>122</v>
      </c>
      <c r="C18" s="53" t="s">
        <v>123</v>
      </c>
      <c r="D18" s="54"/>
      <c r="E18" s="54"/>
      <c r="F18" s="55"/>
      <c r="G18" s="15"/>
      <c r="H18" s="56" t="s">
        <v>122</v>
      </c>
      <c r="I18" s="57" t="s">
        <v>123</v>
      </c>
      <c r="J18" s="58"/>
      <c r="K18" s="58"/>
      <c r="L18" s="59"/>
      <c r="M18" s="21"/>
      <c r="N18" s="15"/>
      <c r="O18" s="60"/>
      <c r="P18" s="61"/>
      <c r="Q18" s="62"/>
      <c r="R18" s="18"/>
      <c r="S18" s="15"/>
      <c r="T18" s="17"/>
      <c r="U18" s="164"/>
      <c r="V18" s="15"/>
      <c r="W18" s="15"/>
      <c r="X18" s="15"/>
      <c r="Y18" s="175"/>
      <c r="Z18" s="15"/>
      <c r="AA18" s="15"/>
      <c r="AB18" s="15"/>
      <c r="AC18" s="175"/>
      <c r="AD18" s="15"/>
      <c r="AE18" s="15"/>
      <c r="AF18" s="15"/>
      <c r="AG18" s="15"/>
      <c r="AH18" s="18"/>
    </row>
    <row r="19" spans="1:34" ht="21" customHeight="1" thickBot="1" x14ac:dyDescent="0.25">
      <c r="A19" s="17"/>
      <c r="B19" s="176"/>
      <c r="C19" s="236"/>
      <c r="D19" s="194" t="str">
        <f>IF('Metric Form'!D24="","",'Metric Form'!D24)</f>
        <v/>
      </c>
      <c r="E19" s="237" t="str">
        <f>IF('Metric Form'!E24="","",'Metric Form'!E24-152.4)</f>
        <v/>
      </c>
      <c r="F19" s="237" t="str">
        <f>IF('Metric Form'!F24="","",'Metric Form'!F24-152.4)</f>
        <v/>
      </c>
      <c r="G19" s="15"/>
      <c r="H19" s="180"/>
      <c r="I19" s="177"/>
      <c r="J19" s="194" t="str">
        <f>IF('Metric Form'!J24="","",'Metric Form'!J24)</f>
        <v/>
      </c>
      <c r="K19" s="237" t="str">
        <f>IF('Metric Form'!K24="","",'Metric Form'!K24-152.4)</f>
        <v/>
      </c>
      <c r="L19" s="237" t="str">
        <f>IF('Metric Form'!L24="","",'Metric Form'!L24-152.4)</f>
        <v/>
      </c>
      <c r="M19" s="70"/>
      <c r="N19" s="15"/>
      <c r="O19" s="102" t="str">
        <f>IF('Metric Form'!O24="","",'Metric Form'!O24)</f>
        <v/>
      </c>
      <c r="P19" s="237" t="str">
        <f>IF('Metric Form'!P24="","",'Metric Form'!P24-152.4)</f>
        <v/>
      </c>
      <c r="Q19" s="237" t="str">
        <f>IF('Metric Form'!Q24="","",'Metric Form'!Q24-76.2)</f>
        <v/>
      </c>
      <c r="R19" s="18"/>
      <c r="S19" s="15"/>
      <c r="T19" s="17"/>
      <c r="U19" s="164">
        <v>1</v>
      </c>
      <c r="V19" s="167" t="e">
        <f t="shared" ref="V19:V33" si="0">E19*F19/144</f>
        <v>#VALUE!</v>
      </c>
      <c r="W19" s="167" t="e">
        <f t="shared" ref="W19:W33" si="1">IF(D19=0,0,IF(E19*F19/144&lt;1,1,E19*F19/144))</f>
        <v>#VALUE!</v>
      </c>
      <c r="X19" s="167" t="e">
        <f t="shared" ref="X19:X33" si="2">$W19*$D19</f>
        <v>#VALUE!</v>
      </c>
      <c r="Y19" s="168" t="e">
        <f t="shared" ref="Y19:Y33" si="3">CEILING(X19,0.25)</f>
        <v>#VALUE!</v>
      </c>
      <c r="Z19" s="169" t="e">
        <f t="shared" ref="Z19:Z33" si="4">K19*L19/144</f>
        <v>#VALUE!</v>
      </c>
      <c r="AA19" s="169" t="e">
        <f t="shared" ref="AA19:AA33" si="5">IF(J19=0,0,IF(K19*L19/144&lt;1,1,K19*L19/144))</f>
        <v>#VALUE!</v>
      </c>
      <c r="AB19" s="169" t="e">
        <f t="shared" ref="AB19:AB33" si="6">$AA19*$J19</f>
        <v>#VALUE!</v>
      </c>
      <c r="AC19" s="168" t="e">
        <f t="shared" ref="AC19:AC33" si="7">CEILING(AB19,0.25)</f>
        <v>#VALUE!</v>
      </c>
      <c r="AD19" s="169" t="e">
        <f t="shared" ref="AD19:AD29" si="8">P19*Q19/144</f>
        <v>#VALUE!</v>
      </c>
      <c r="AE19" s="169" t="e">
        <f t="shared" ref="AE19:AE29" si="9">IF(O19=0,0,IF(P19*Q19/144&lt;1,1,P19*Q19/144))</f>
        <v>#VALUE!</v>
      </c>
      <c r="AF19" s="169" t="e">
        <f t="shared" ref="AF19:AF29" si="10">$AE19*$O19</f>
        <v>#VALUE!</v>
      </c>
      <c r="AG19" s="169" t="e">
        <f t="shared" ref="AG19:AG33" si="11">CEILING(AF19,0.25)</f>
        <v>#VALUE!</v>
      </c>
      <c r="AH19" s="18"/>
    </row>
    <row r="20" spans="1:34" ht="21" customHeight="1" thickBot="1" x14ac:dyDescent="0.25">
      <c r="A20" s="17"/>
      <c r="B20" s="181"/>
      <c r="C20" s="238"/>
      <c r="D20" s="74" t="str">
        <f>IF('Metric Form'!D25="","",'Metric Form'!D25)</f>
        <v/>
      </c>
      <c r="E20" s="237" t="str">
        <f>IF('Metric Form'!E25="","",'Metric Form'!E25-152.4)</f>
        <v/>
      </c>
      <c r="F20" s="237" t="str">
        <f>IF('Metric Form'!F25="","",'Metric Form'!F25-152.4)</f>
        <v/>
      </c>
      <c r="G20" s="15"/>
      <c r="H20" s="185"/>
      <c r="I20" s="182"/>
      <c r="J20" s="74" t="str">
        <f>IF('Metric Form'!J25="","",'Metric Form'!J25)</f>
        <v/>
      </c>
      <c r="K20" s="237" t="str">
        <f>IF('Metric Form'!K25="","",'Metric Form'!K25-152.4)</f>
        <v/>
      </c>
      <c r="L20" s="237" t="str">
        <f>IF('Metric Form'!L25="","",'Metric Form'!L25-152.4)</f>
        <v/>
      </c>
      <c r="M20" s="70"/>
      <c r="N20" s="15"/>
      <c r="O20" s="77" t="str">
        <f>IF('Metric Form'!O25="","",'Metric Form'!O25)</f>
        <v/>
      </c>
      <c r="P20" s="237" t="str">
        <f>IF('Metric Form'!P25="","",'Metric Form'!P25-152.4)</f>
        <v/>
      </c>
      <c r="Q20" s="237" t="str">
        <f>IF('Metric Form'!Q25="","",'Metric Form'!Q25-76.2)</f>
        <v/>
      </c>
      <c r="R20" s="18"/>
      <c r="S20" s="15"/>
      <c r="T20" s="17"/>
      <c r="U20" s="164">
        <v>2</v>
      </c>
      <c r="V20" s="167" t="e">
        <f t="shared" si="0"/>
        <v>#VALUE!</v>
      </c>
      <c r="W20" s="167" t="e">
        <f t="shared" si="1"/>
        <v>#VALUE!</v>
      </c>
      <c r="X20" s="167" t="e">
        <f t="shared" si="2"/>
        <v>#VALUE!</v>
      </c>
      <c r="Y20" s="168" t="e">
        <f t="shared" si="3"/>
        <v>#VALUE!</v>
      </c>
      <c r="Z20" s="169" t="e">
        <f t="shared" si="4"/>
        <v>#VALUE!</v>
      </c>
      <c r="AA20" s="169" t="e">
        <f t="shared" si="5"/>
        <v>#VALUE!</v>
      </c>
      <c r="AB20" s="169" t="e">
        <f t="shared" si="6"/>
        <v>#VALUE!</v>
      </c>
      <c r="AC20" s="168" t="e">
        <f t="shared" si="7"/>
        <v>#VALUE!</v>
      </c>
      <c r="AD20" s="169" t="e">
        <f t="shared" si="8"/>
        <v>#VALUE!</v>
      </c>
      <c r="AE20" s="169" t="e">
        <f t="shared" si="9"/>
        <v>#VALUE!</v>
      </c>
      <c r="AF20" s="169" t="e">
        <f t="shared" si="10"/>
        <v>#VALUE!</v>
      </c>
      <c r="AG20" s="169" t="e">
        <f t="shared" si="11"/>
        <v>#VALUE!</v>
      </c>
      <c r="AH20" s="18"/>
    </row>
    <row r="21" spans="1:34" ht="21" customHeight="1" thickBot="1" x14ac:dyDescent="0.25">
      <c r="A21" s="17"/>
      <c r="B21" s="181"/>
      <c r="C21" s="238"/>
      <c r="D21" s="74" t="str">
        <f>IF('Metric Form'!D26="","",'Metric Form'!D26)</f>
        <v/>
      </c>
      <c r="E21" s="237" t="str">
        <f>IF('Metric Form'!E26="","",'Metric Form'!E26-152.4)</f>
        <v/>
      </c>
      <c r="F21" s="237" t="str">
        <f>IF('Metric Form'!F26="","",'Metric Form'!F26-152.4)</f>
        <v/>
      </c>
      <c r="G21" s="15"/>
      <c r="H21" s="185"/>
      <c r="I21" s="182"/>
      <c r="J21" s="74" t="str">
        <f>IF('Metric Form'!J26="","",'Metric Form'!J26)</f>
        <v/>
      </c>
      <c r="K21" s="237" t="str">
        <f>IF('Metric Form'!K26="","",'Metric Form'!K26-152.4)</f>
        <v/>
      </c>
      <c r="L21" s="237" t="str">
        <f>IF('Metric Form'!L26="","",'Metric Form'!L26-152.4)</f>
        <v/>
      </c>
      <c r="M21" s="70"/>
      <c r="N21" s="15"/>
      <c r="O21" s="77" t="str">
        <f>IF('Metric Form'!O26="","",'Metric Form'!O26)</f>
        <v/>
      </c>
      <c r="P21" s="237" t="str">
        <f>IF('Metric Form'!P26="","",'Metric Form'!P26-152.4)</f>
        <v/>
      </c>
      <c r="Q21" s="237" t="str">
        <f>IF('Metric Form'!Q26="","",'Metric Form'!Q26-76.2)</f>
        <v/>
      </c>
      <c r="R21" s="18"/>
      <c r="S21" s="15"/>
      <c r="T21" s="17"/>
      <c r="U21" s="164">
        <v>3</v>
      </c>
      <c r="V21" s="167" t="e">
        <f t="shared" si="0"/>
        <v>#VALUE!</v>
      </c>
      <c r="W21" s="167" t="e">
        <f t="shared" si="1"/>
        <v>#VALUE!</v>
      </c>
      <c r="X21" s="167" t="e">
        <f t="shared" si="2"/>
        <v>#VALUE!</v>
      </c>
      <c r="Y21" s="168" t="e">
        <f t="shared" si="3"/>
        <v>#VALUE!</v>
      </c>
      <c r="Z21" s="169" t="e">
        <f t="shared" si="4"/>
        <v>#VALUE!</v>
      </c>
      <c r="AA21" s="169" t="e">
        <f t="shared" si="5"/>
        <v>#VALUE!</v>
      </c>
      <c r="AB21" s="169" t="e">
        <f t="shared" si="6"/>
        <v>#VALUE!</v>
      </c>
      <c r="AC21" s="168" t="e">
        <f t="shared" si="7"/>
        <v>#VALUE!</v>
      </c>
      <c r="AD21" s="169" t="e">
        <f t="shared" si="8"/>
        <v>#VALUE!</v>
      </c>
      <c r="AE21" s="169" t="e">
        <f t="shared" si="9"/>
        <v>#VALUE!</v>
      </c>
      <c r="AF21" s="169" t="e">
        <f t="shared" si="10"/>
        <v>#VALUE!</v>
      </c>
      <c r="AG21" s="169" t="e">
        <f t="shared" si="11"/>
        <v>#VALUE!</v>
      </c>
      <c r="AH21" s="18"/>
    </row>
    <row r="22" spans="1:34" ht="21" customHeight="1" thickBot="1" x14ac:dyDescent="0.25">
      <c r="A22" s="17"/>
      <c r="B22" s="181"/>
      <c r="C22" s="238"/>
      <c r="D22" s="74" t="str">
        <f>IF('Metric Form'!D27="","",'Metric Form'!D27)</f>
        <v/>
      </c>
      <c r="E22" s="237" t="str">
        <f>IF('Metric Form'!E27="","",'Metric Form'!E27-152.4)</f>
        <v/>
      </c>
      <c r="F22" s="237" t="str">
        <f>IF('Metric Form'!F27="","",'Metric Form'!F27-152.4)</f>
        <v/>
      </c>
      <c r="G22" s="15"/>
      <c r="H22" s="185"/>
      <c r="I22" s="182"/>
      <c r="J22" s="74" t="str">
        <f>IF('Metric Form'!J27="","",'Metric Form'!J27)</f>
        <v/>
      </c>
      <c r="K22" s="237" t="str">
        <f>IF('Metric Form'!K27="","",'Metric Form'!K27-152.4)</f>
        <v/>
      </c>
      <c r="L22" s="237" t="str">
        <f>IF('Metric Form'!L27="","",'Metric Form'!L27-152.4)</f>
        <v/>
      </c>
      <c r="M22" s="70"/>
      <c r="N22" s="15"/>
      <c r="O22" s="77" t="str">
        <f>IF('Metric Form'!O27="","",'Metric Form'!O27)</f>
        <v/>
      </c>
      <c r="P22" s="237" t="str">
        <f>IF('Metric Form'!P27="","",'Metric Form'!P27-152.4)</f>
        <v/>
      </c>
      <c r="Q22" s="237" t="str">
        <f>IF('Metric Form'!Q27="","",'Metric Form'!Q27-76.2)</f>
        <v/>
      </c>
      <c r="R22" s="18"/>
      <c r="S22" s="15"/>
      <c r="T22" s="17"/>
      <c r="U22" s="164">
        <v>4</v>
      </c>
      <c r="V22" s="167" t="e">
        <f t="shared" si="0"/>
        <v>#VALUE!</v>
      </c>
      <c r="W22" s="167" t="e">
        <f t="shared" si="1"/>
        <v>#VALUE!</v>
      </c>
      <c r="X22" s="167" t="e">
        <f t="shared" si="2"/>
        <v>#VALUE!</v>
      </c>
      <c r="Y22" s="168" t="e">
        <f t="shared" si="3"/>
        <v>#VALUE!</v>
      </c>
      <c r="Z22" s="169" t="e">
        <f t="shared" si="4"/>
        <v>#VALUE!</v>
      </c>
      <c r="AA22" s="169" t="e">
        <f t="shared" si="5"/>
        <v>#VALUE!</v>
      </c>
      <c r="AB22" s="169" t="e">
        <f t="shared" si="6"/>
        <v>#VALUE!</v>
      </c>
      <c r="AC22" s="168" t="e">
        <f t="shared" si="7"/>
        <v>#VALUE!</v>
      </c>
      <c r="AD22" s="169" t="e">
        <f t="shared" si="8"/>
        <v>#VALUE!</v>
      </c>
      <c r="AE22" s="169" t="e">
        <f t="shared" si="9"/>
        <v>#VALUE!</v>
      </c>
      <c r="AF22" s="169" t="e">
        <f t="shared" si="10"/>
        <v>#VALUE!</v>
      </c>
      <c r="AG22" s="169" t="e">
        <f t="shared" si="11"/>
        <v>#VALUE!</v>
      </c>
      <c r="AH22" s="18"/>
    </row>
    <row r="23" spans="1:34" ht="21" customHeight="1" thickBot="1" x14ac:dyDescent="0.25">
      <c r="A23" s="17"/>
      <c r="B23" s="181"/>
      <c r="C23" s="238"/>
      <c r="D23" s="74" t="str">
        <f>IF('Metric Form'!D28="","",'Metric Form'!D28)</f>
        <v/>
      </c>
      <c r="E23" s="237" t="str">
        <f>IF('Metric Form'!E28="","",'Metric Form'!E28-152.4)</f>
        <v/>
      </c>
      <c r="F23" s="237" t="str">
        <f>IF('Metric Form'!F28="","",'Metric Form'!F28-152.4)</f>
        <v/>
      </c>
      <c r="G23" s="15"/>
      <c r="H23" s="185"/>
      <c r="I23" s="182"/>
      <c r="J23" s="74" t="str">
        <f>IF('Metric Form'!J28="","",'Metric Form'!J28)</f>
        <v/>
      </c>
      <c r="K23" s="237" t="str">
        <f>IF('Metric Form'!K28="","",'Metric Form'!K28-152.4)</f>
        <v/>
      </c>
      <c r="L23" s="237" t="str">
        <f>IF('Metric Form'!L28="","",'Metric Form'!L28-152.4)</f>
        <v/>
      </c>
      <c r="M23" s="70"/>
      <c r="N23" s="15"/>
      <c r="O23" s="77" t="str">
        <f>IF('Metric Form'!O28="","",'Metric Form'!O28)</f>
        <v/>
      </c>
      <c r="P23" s="237" t="str">
        <f>IF('Metric Form'!P28="","",'Metric Form'!P28-152.4)</f>
        <v/>
      </c>
      <c r="Q23" s="237" t="str">
        <f>IF('Metric Form'!Q28="","",'Metric Form'!Q28-76.2)</f>
        <v/>
      </c>
      <c r="R23" s="18"/>
      <c r="S23" s="15"/>
      <c r="T23" s="17"/>
      <c r="U23" s="164">
        <v>5</v>
      </c>
      <c r="V23" s="167" t="e">
        <f t="shared" si="0"/>
        <v>#VALUE!</v>
      </c>
      <c r="W23" s="167" t="e">
        <f t="shared" si="1"/>
        <v>#VALUE!</v>
      </c>
      <c r="X23" s="167" t="e">
        <f t="shared" si="2"/>
        <v>#VALUE!</v>
      </c>
      <c r="Y23" s="168" t="e">
        <f t="shared" si="3"/>
        <v>#VALUE!</v>
      </c>
      <c r="Z23" s="169" t="e">
        <f t="shared" si="4"/>
        <v>#VALUE!</v>
      </c>
      <c r="AA23" s="169" t="e">
        <f t="shared" si="5"/>
        <v>#VALUE!</v>
      </c>
      <c r="AB23" s="169" t="e">
        <f t="shared" si="6"/>
        <v>#VALUE!</v>
      </c>
      <c r="AC23" s="168" t="e">
        <f t="shared" si="7"/>
        <v>#VALUE!</v>
      </c>
      <c r="AD23" s="169" t="e">
        <f t="shared" si="8"/>
        <v>#VALUE!</v>
      </c>
      <c r="AE23" s="169" t="e">
        <f t="shared" si="9"/>
        <v>#VALUE!</v>
      </c>
      <c r="AF23" s="169" t="e">
        <f t="shared" si="10"/>
        <v>#VALUE!</v>
      </c>
      <c r="AG23" s="169" t="e">
        <f t="shared" si="11"/>
        <v>#VALUE!</v>
      </c>
      <c r="AH23" s="18"/>
    </row>
    <row r="24" spans="1:34" ht="21" customHeight="1" thickBot="1" x14ac:dyDescent="0.25">
      <c r="A24" s="17"/>
      <c r="B24" s="181"/>
      <c r="C24" s="238"/>
      <c r="D24" s="74" t="str">
        <f>IF('Metric Form'!D29="","",'Metric Form'!D29)</f>
        <v/>
      </c>
      <c r="E24" s="237" t="str">
        <f>IF('Metric Form'!E29="","",'Metric Form'!E29-152.4)</f>
        <v/>
      </c>
      <c r="F24" s="237" t="str">
        <f>IF('Metric Form'!F29="","",'Metric Form'!F29-152.4)</f>
        <v/>
      </c>
      <c r="G24" s="15"/>
      <c r="H24" s="185"/>
      <c r="I24" s="182"/>
      <c r="J24" s="74" t="str">
        <f>IF('Metric Form'!J29="","",'Metric Form'!J29)</f>
        <v/>
      </c>
      <c r="K24" s="237" t="str">
        <f>IF('Metric Form'!K29="","",'Metric Form'!K29-152.4)</f>
        <v/>
      </c>
      <c r="L24" s="237" t="str">
        <f>IF('Metric Form'!L29="","",'Metric Form'!L29-152.4)</f>
        <v/>
      </c>
      <c r="M24" s="70"/>
      <c r="N24" s="15"/>
      <c r="O24" s="77" t="str">
        <f>IF('Metric Form'!O29="","",'Metric Form'!O29)</f>
        <v/>
      </c>
      <c r="P24" s="237" t="str">
        <f>IF('Metric Form'!P29="","",'Metric Form'!P29-152.4)</f>
        <v/>
      </c>
      <c r="Q24" s="237" t="str">
        <f>IF('Metric Form'!Q29="","",'Metric Form'!Q29-76.2)</f>
        <v/>
      </c>
      <c r="R24" s="18"/>
      <c r="S24" s="15"/>
      <c r="T24" s="17"/>
      <c r="U24" s="164">
        <v>6</v>
      </c>
      <c r="V24" s="167" t="e">
        <f t="shared" si="0"/>
        <v>#VALUE!</v>
      </c>
      <c r="W24" s="167" t="e">
        <f t="shared" si="1"/>
        <v>#VALUE!</v>
      </c>
      <c r="X24" s="167" t="e">
        <f t="shared" si="2"/>
        <v>#VALUE!</v>
      </c>
      <c r="Y24" s="168" t="e">
        <f t="shared" si="3"/>
        <v>#VALUE!</v>
      </c>
      <c r="Z24" s="169" t="e">
        <f t="shared" si="4"/>
        <v>#VALUE!</v>
      </c>
      <c r="AA24" s="169" t="e">
        <f t="shared" si="5"/>
        <v>#VALUE!</v>
      </c>
      <c r="AB24" s="169" t="e">
        <f t="shared" si="6"/>
        <v>#VALUE!</v>
      </c>
      <c r="AC24" s="168" t="e">
        <f t="shared" si="7"/>
        <v>#VALUE!</v>
      </c>
      <c r="AD24" s="169" t="e">
        <f t="shared" si="8"/>
        <v>#VALUE!</v>
      </c>
      <c r="AE24" s="169" t="e">
        <f t="shared" si="9"/>
        <v>#VALUE!</v>
      </c>
      <c r="AF24" s="169" t="e">
        <f t="shared" si="10"/>
        <v>#VALUE!</v>
      </c>
      <c r="AG24" s="169" t="e">
        <f t="shared" si="11"/>
        <v>#VALUE!</v>
      </c>
      <c r="AH24" s="18"/>
    </row>
    <row r="25" spans="1:34" ht="21" customHeight="1" thickBot="1" x14ac:dyDescent="0.25">
      <c r="A25" s="17"/>
      <c r="B25" s="181"/>
      <c r="C25" s="238"/>
      <c r="D25" s="74" t="str">
        <f>IF('Metric Form'!D30="","",'Metric Form'!D30)</f>
        <v/>
      </c>
      <c r="E25" s="237" t="str">
        <f>IF('Metric Form'!E30="","",'Metric Form'!E30-152.4)</f>
        <v/>
      </c>
      <c r="F25" s="237" t="str">
        <f>IF('Metric Form'!F30="","",'Metric Form'!F30-152.4)</f>
        <v/>
      </c>
      <c r="G25" s="15"/>
      <c r="H25" s="185"/>
      <c r="I25" s="182"/>
      <c r="J25" s="74" t="str">
        <f>IF('Metric Form'!J30="","",'Metric Form'!J30)</f>
        <v/>
      </c>
      <c r="K25" s="237" t="str">
        <f>IF('Metric Form'!K30="","",'Metric Form'!K30-152.4)</f>
        <v/>
      </c>
      <c r="L25" s="237" t="str">
        <f>IF('Metric Form'!L30="","",'Metric Form'!L30-152.4)</f>
        <v/>
      </c>
      <c r="M25" s="70"/>
      <c r="N25" s="15"/>
      <c r="O25" s="77" t="str">
        <f>IF('Metric Form'!O30="","",'Metric Form'!O30)</f>
        <v/>
      </c>
      <c r="P25" s="237" t="str">
        <f>IF('Metric Form'!P30="","",'Metric Form'!P30-152.4)</f>
        <v/>
      </c>
      <c r="Q25" s="237" t="str">
        <f>IF('Metric Form'!Q30="","",'Metric Form'!Q30-76.2)</f>
        <v/>
      </c>
      <c r="R25" s="18"/>
      <c r="S25" s="15"/>
      <c r="T25" s="17"/>
      <c r="U25" s="164">
        <v>7</v>
      </c>
      <c r="V25" s="167" t="e">
        <f t="shared" si="0"/>
        <v>#VALUE!</v>
      </c>
      <c r="W25" s="167" t="e">
        <f t="shared" si="1"/>
        <v>#VALUE!</v>
      </c>
      <c r="X25" s="167" t="e">
        <f t="shared" si="2"/>
        <v>#VALUE!</v>
      </c>
      <c r="Y25" s="168" t="e">
        <f t="shared" si="3"/>
        <v>#VALUE!</v>
      </c>
      <c r="Z25" s="169" t="e">
        <f t="shared" si="4"/>
        <v>#VALUE!</v>
      </c>
      <c r="AA25" s="169" t="e">
        <f t="shared" si="5"/>
        <v>#VALUE!</v>
      </c>
      <c r="AB25" s="169" t="e">
        <f t="shared" si="6"/>
        <v>#VALUE!</v>
      </c>
      <c r="AC25" s="168" t="e">
        <f t="shared" si="7"/>
        <v>#VALUE!</v>
      </c>
      <c r="AD25" s="169" t="e">
        <f t="shared" si="8"/>
        <v>#VALUE!</v>
      </c>
      <c r="AE25" s="169" t="e">
        <f t="shared" si="9"/>
        <v>#VALUE!</v>
      </c>
      <c r="AF25" s="169" t="e">
        <f t="shared" si="10"/>
        <v>#VALUE!</v>
      </c>
      <c r="AG25" s="169" t="e">
        <f t="shared" si="11"/>
        <v>#VALUE!</v>
      </c>
      <c r="AH25" s="18"/>
    </row>
    <row r="26" spans="1:34" ht="21" customHeight="1" thickBot="1" x14ac:dyDescent="0.25">
      <c r="A26" s="17"/>
      <c r="B26" s="181"/>
      <c r="C26" s="238"/>
      <c r="D26" s="74" t="str">
        <f>IF('Metric Form'!D31="","",'Metric Form'!D31)</f>
        <v/>
      </c>
      <c r="E26" s="237" t="str">
        <f>IF('Metric Form'!E31="","",'Metric Form'!E31-152.4)</f>
        <v/>
      </c>
      <c r="F26" s="237" t="str">
        <f>IF('Metric Form'!F31="","",'Metric Form'!F31-152.4)</f>
        <v/>
      </c>
      <c r="G26" s="15"/>
      <c r="H26" s="185"/>
      <c r="I26" s="182"/>
      <c r="J26" s="74" t="str">
        <f>IF('Metric Form'!J31="","",'Metric Form'!J31)</f>
        <v/>
      </c>
      <c r="K26" s="237" t="str">
        <f>IF('Metric Form'!K31="","",'Metric Form'!K31-152.4)</f>
        <v/>
      </c>
      <c r="L26" s="237" t="str">
        <f>IF('Metric Form'!L31="","",'Metric Form'!L31-152.4)</f>
        <v/>
      </c>
      <c r="M26" s="70"/>
      <c r="N26" s="15"/>
      <c r="O26" s="77" t="str">
        <f>IF('Metric Form'!O31="","",'Metric Form'!O31)</f>
        <v/>
      </c>
      <c r="P26" s="237" t="str">
        <f>IF('Metric Form'!P31="","",'Metric Form'!P31-152.4)</f>
        <v/>
      </c>
      <c r="Q26" s="237" t="str">
        <f>IF('Metric Form'!Q31="","",'Metric Form'!Q31-76.2)</f>
        <v/>
      </c>
      <c r="R26" s="18"/>
      <c r="S26" s="15"/>
      <c r="T26" s="17"/>
      <c r="U26" s="164">
        <v>8</v>
      </c>
      <c r="V26" s="167" t="e">
        <f t="shared" si="0"/>
        <v>#VALUE!</v>
      </c>
      <c r="W26" s="167" t="e">
        <f t="shared" si="1"/>
        <v>#VALUE!</v>
      </c>
      <c r="X26" s="167" t="e">
        <f t="shared" si="2"/>
        <v>#VALUE!</v>
      </c>
      <c r="Y26" s="168" t="e">
        <f t="shared" si="3"/>
        <v>#VALUE!</v>
      </c>
      <c r="Z26" s="169" t="e">
        <f t="shared" si="4"/>
        <v>#VALUE!</v>
      </c>
      <c r="AA26" s="169" t="e">
        <f t="shared" si="5"/>
        <v>#VALUE!</v>
      </c>
      <c r="AB26" s="169" t="e">
        <f t="shared" si="6"/>
        <v>#VALUE!</v>
      </c>
      <c r="AC26" s="168" t="e">
        <f t="shared" si="7"/>
        <v>#VALUE!</v>
      </c>
      <c r="AD26" s="169" t="e">
        <f t="shared" si="8"/>
        <v>#VALUE!</v>
      </c>
      <c r="AE26" s="169" t="e">
        <f t="shared" si="9"/>
        <v>#VALUE!</v>
      </c>
      <c r="AF26" s="169" t="e">
        <f t="shared" si="10"/>
        <v>#VALUE!</v>
      </c>
      <c r="AG26" s="169" t="e">
        <f t="shared" si="11"/>
        <v>#VALUE!</v>
      </c>
      <c r="AH26" s="18"/>
    </row>
    <row r="27" spans="1:34" ht="21" customHeight="1" thickBot="1" x14ac:dyDescent="0.25">
      <c r="A27" s="17"/>
      <c r="B27" s="181"/>
      <c r="C27" s="238"/>
      <c r="D27" s="74" t="str">
        <f>IF('Metric Form'!D32="","",'Metric Form'!D32)</f>
        <v/>
      </c>
      <c r="E27" s="237" t="str">
        <f>IF('Metric Form'!E32="","",'Metric Form'!E32-152.4)</f>
        <v/>
      </c>
      <c r="F27" s="237" t="str">
        <f>IF('Metric Form'!F32="","",'Metric Form'!F32-152.4)</f>
        <v/>
      </c>
      <c r="G27" s="15"/>
      <c r="H27" s="185"/>
      <c r="I27" s="182"/>
      <c r="J27" s="74" t="str">
        <f>IF('Metric Form'!J32="","",'Metric Form'!J32)</f>
        <v/>
      </c>
      <c r="K27" s="237" t="str">
        <f>IF('Metric Form'!K32="","",'Metric Form'!K32-152.4)</f>
        <v/>
      </c>
      <c r="L27" s="237" t="str">
        <f>IF('Metric Form'!L32="","",'Metric Form'!L32-152.4)</f>
        <v/>
      </c>
      <c r="M27" s="70"/>
      <c r="N27" s="15"/>
      <c r="O27" s="77" t="str">
        <f>IF('Metric Form'!O32="","",'Metric Form'!O32)</f>
        <v/>
      </c>
      <c r="P27" s="237" t="str">
        <f>IF('Metric Form'!P32="","",'Metric Form'!P32-152.4)</f>
        <v/>
      </c>
      <c r="Q27" s="237" t="str">
        <f>IF('Metric Form'!Q32="","",'Metric Form'!Q32-76.2)</f>
        <v/>
      </c>
      <c r="R27" s="18"/>
      <c r="S27" s="15"/>
      <c r="T27" s="17"/>
      <c r="U27" s="164">
        <v>9</v>
      </c>
      <c r="V27" s="167" t="e">
        <f t="shared" si="0"/>
        <v>#VALUE!</v>
      </c>
      <c r="W27" s="167" t="e">
        <f t="shared" si="1"/>
        <v>#VALUE!</v>
      </c>
      <c r="X27" s="167" t="e">
        <f t="shared" si="2"/>
        <v>#VALUE!</v>
      </c>
      <c r="Y27" s="168" t="e">
        <f t="shared" si="3"/>
        <v>#VALUE!</v>
      </c>
      <c r="Z27" s="169" t="e">
        <f t="shared" si="4"/>
        <v>#VALUE!</v>
      </c>
      <c r="AA27" s="169" t="e">
        <f t="shared" si="5"/>
        <v>#VALUE!</v>
      </c>
      <c r="AB27" s="169" t="e">
        <f t="shared" si="6"/>
        <v>#VALUE!</v>
      </c>
      <c r="AC27" s="168" t="e">
        <f t="shared" si="7"/>
        <v>#VALUE!</v>
      </c>
      <c r="AD27" s="169" t="e">
        <f t="shared" si="8"/>
        <v>#VALUE!</v>
      </c>
      <c r="AE27" s="169" t="e">
        <f t="shared" si="9"/>
        <v>#VALUE!</v>
      </c>
      <c r="AF27" s="169" t="e">
        <f t="shared" si="10"/>
        <v>#VALUE!</v>
      </c>
      <c r="AG27" s="169" t="e">
        <f t="shared" si="11"/>
        <v>#VALUE!</v>
      </c>
      <c r="AH27" s="18"/>
    </row>
    <row r="28" spans="1:34" ht="21" customHeight="1" thickBot="1" x14ac:dyDescent="0.25">
      <c r="A28" s="17"/>
      <c r="B28" s="181"/>
      <c r="C28" s="238"/>
      <c r="D28" s="74" t="str">
        <f>IF('Metric Form'!D33="","",'Metric Form'!D33)</f>
        <v/>
      </c>
      <c r="E28" s="237" t="str">
        <f>IF('Metric Form'!E33="","",'Metric Form'!E33-152.4)</f>
        <v/>
      </c>
      <c r="F28" s="237" t="str">
        <f>IF('Metric Form'!F33="","",'Metric Form'!F33-152.4)</f>
        <v/>
      </c>
      <c r="G28" s="15"/>
      <c r="H28" s="185"/>
      <c r="I28" s="182"/>
      <c r="J28" s="74" t="str">
        <f>IF('Metric Form'!J33="","",'Metric Form'!J33)</f>
        <v/>
      </c>
      <c r="K28" s="237" t="str">
        <f>IF('Metric Form'!K33="","",'Metric Form'!K33-152.4)</f>
        <v/>
      </c>
      <c r="L28" s="237" t="str">
        <f>IF('Metric Form'!L33="","",'Metric Form'!L33-152.4)</f>
        <v/>
      </c>
      <c r="M28" s="70"/>
      <c r="N28" s="15"/>
      <c r="O28" s="77" t="str">
        <f>IF('Metric Form'!O33="","",'Metric Form'!O33)</f>
        <v/>
      </c>
      <c r="P28" s="237" t="str">
        <f>IF('Metric Form'!P33="","",'Metric Form'!P33-152.4)</f>
        <v/>
      </c>
      <c r="Q28" s="237" t="str">
        <f>IF('Metric Form'!Q33="","",'Metric Form'!Q33-76.2)</f>
        <v/>
      </c>
      <c r="R28" s="18"/>
      <c r="S28" s="15"/>
      <c r="T28" s="17"/>
      <c r="U28" s="164">
        <v>10</v>
      </c>
      <c r="V28" s="167" t="e">
        <f t="shared" si="0"/>
        <v>#VALUE!</v>
      </c>
      <c r="W28" s="167" t="e">
        <f t="shared" si="1"/>
        <v>#VALUE!</v>
      </c>
      <c r="X28" s="167" t="e">
        <f t="shared" si="2"/>
        <v>#VALUE!</v>
      </c>
      <c r="Y28" s="168" t="e">
        <f t="shared" si="3"/>
        <v>#VALUE!</v>
      </c>
      <c r="Z28" s="169" t="e">
        <f t="shared" si="4"/>
        <v>#VALUE!</v>
      </c>
      <c r="AA28" s="169" t="e">
        <f t="shared" si="5"/>
        <v>#VALUE!</v>
      </c>
      <c r="AB28" s="169" t="e">
        <f t="shared" si="6"/>
        <v>#VALUE!</v>
      </c>
      <c r="AC28" s="168" t="e">
        <f t="shared" si="7"/>
        <v>#VALUE!</v>
      </c>
      <c r="AD28" s="169" t="e">
        <f t="shared" si="8"/>
        <v>#VALUE!</v>
      </c>
      <c r="AE28" s="169" t="e">
        <f t="shared" si="9"/>
        <v>#VALUE!</v>
      </c>
      <c r="AF28" s="169" t="e">
        <f t="shared" si="10"/>
        <v>#VALUE!</v>
      </c>
      <c r="AG28" s="169" t="e">
        <f t="shared" si="11"/>
        <v>#VALUE!</v>
      </c>
      <c r="AH28" s="18"/>
    </row>
    <row r="29" spans="1:34" ht="21" customHeight="1" thickBot="1" x14ac:dyDescent="0.25">
      <c r="A29" s="17"/>
      <c r="B29" s="181"/>
      <c r="C29" s="238"/>
      <c r="D29" s="74" t="str">
        <f>IF('Metric Form'!D34="","",'Metric Form'!D34)</f>
        <v/>
      </c>
      <c r="E29" s="237" t="str">
        <f>IF('Metric Form'!E34="","",'Metric Form'!E34-152.4)</f>
        <v/>
      </c>
      <c r="F29" s="237" t="str">
        <f>IF('Metric Form'!F34="","",'Metric Form'!F34-152.4)</f>
        <v/>
      </c>
      <c r="G29" s="15"/>
      <c r="H29" s="185"/>
      <c r="I29" s="182"/>
      <c r="J29" s="74" t="str">
        <f>IF('Metric Form'!J34="","",'Metric Form'!J34)</f>
        <v/>
      </c>
      <c r="K29" s="237" t="str">
        <f>IF('Metric Form'!K34="","",'Metric Form'!K34-152.4)</f>
        <v/>
      </c>
      <c r="L29" s="237" t="str">
        <f>IF('Metric Form'!L34="","",'Metric Form'!L34-152.4)</f>
        <v/>
      </c>
      <c r="M29" s="70"/>
      <c r="N29" s="15"/>
      <c r="O29" s="77" t="str">
        <f>IF('Metric Form'!O34="","",'Metric Form'!O34)</f>
        <v/>
      </c>
      <c r="P29" s="237" t="str">
        <f>IF('Metric Form'!P34="","",'Metric Form'!P34-152.4)</f>
        <v/>
      </c>
      <c r="Q29" s="237" t="str">
        <f>IF('Metric Form'!Q34="","",'Metric Form'!Q34-76.2)</f>
        <v/>
      </c>
      <c r="R29" s="18"/>
      <c r="S29" s="15"/>
      <c r="T29" s="17"/>
      <c r="U29" s="164">
        <v>11</v>
      </c>
      <c r="V29" s="167" t="e">
        <f t="shared" si="0"/>
        <v>#VALUE!</v>
      </c>
      <c r="W29" s="167" t="e">
        <f t="shared" si="1"/>
        <v>#VALUE!</v>
      </c>
      <c r="X29" s="167" t="e">
        <f t="shared" si="2"/>
        <v>#VALUE!</v>
      </c>
      <c r="Y29" s="168" t="e">
        <f t="shared" si="3"/>
        <v>#VALUE!</v>
      </c>
      <c r="Z29" s="169" t="e">
        <f t="shared" si="4"/>
        <v>#VALUE!</v>
      </c>
      <c r="AA29" s="169" t="e">
        <f t="shared" si="5"/>
        <v>#VALUE!</v>
      </c>
      <c r="AB29" s="169" t="e">
        <f t="shared" si="6"/>
        <v>#VALUE!</v>
      </c>
      <c r="AC29" s="168" t="e">
        <f t="shared" si="7"/>
        <v>#VALUE!</v>
      </c>
      <c r="AD29" s="169" t="e">
        <f t="shared" si="8"/>
        <v>#VALUE!</v>
      </c>
      <c r="AE29" s="169" t="e">
        <f t="shared" si="9"/>
        <v>#VALUE!</v>
      </c>
      <c r="AF29" s="169" t="e">
        <f t="shared" si="10"/>
        <v>#VALUE!</v>
      </c>
      <c r="AG29" s="169" t="e">
        <f t="shared" si="11"/>
        <v>#VALUE!</v>
      </c>
      <c r="AH29" s="18"/>
    </row>
    <row r="30" spans="1:34" ht="21" customHeight="1" thickBot="1" x14ac:dyDescent="0.25">
      <c r="A30" s="17"/>
      <c r="B30" s="181"/>
      <c r="C30" s="238"/>
      <c r="D30" s="74" t="str">
        <f>IF('Metric Form'!D35="","",'Metric Form'!D35)</f>
        <v/>
      </c>
      <c r="E30" s="237" t="str">
        <f>IF('Metric Form'!E35="","",'Metric Form'!E35-152.4)</f>
        <v/>
      </c>
      <c r="F30" s="237" t="str">
        <f>IF('Metric Form'!F35="","",'Metric Form'!F35-152.4)</f>
        <v/>
      </c>
      <c r="G30" s="15"/>
      <c r="H30" s="185"/>
      <c r="I30" s="182"/>
      <c r="J30" s="74" t="str">
        <f>IF('Metric Form'!J35="","",'Metric Form'!J35)</f>
        <v/>
      </c>
      <c r="K30" s="237" t="str">
        <f>IF('Metric Form'!K35="","",'Metric Form'!K35-152.4)</f>
        <v/>
      </c>
      <c r="L30" s="237" t="str">
        <f>IF('Metric Form'!L35="","",'Metric Form'!L35-152.4)</f>
        <v/>
      </c>
      <c r="M30" s="70"/>
      <c r="N30" s="15"/>
      <c r="O30" s="77" t="str">
        <f>IF('Metric Form'!O35="","",'Metric Form'!O35)</f>
        <v/>
      </c>
      <c r="P30" s="237" t="str">
        <f>IF('Metric Form'!P35="","",'Metric Form'!P35-152.4)</f>
        <v/>
      </c>
      <c r="Q30" s="237" t="str">
        <f>IF('Metric Form'!Q35="","",'Metric Form'!Q35-76.2)</f>
        <v/>
      </c>
      <c r="R30" s="18"/>
      <c r="S30" s="15"/>
      <c r="T30" s="17"/>
      <c r="U30" s="164">
        <v>12</v>
      </c>
      <c r="V30" s="167" t="e">
        <f t="shared" si="0"/>
        <v>#VALUE!</v>
      </c>
      <c r="W30" s="167" t="e">
        <f t="shared" si="1"/>
        <v>#VALUE!</v>
      </c>
      <c r="X30" s="167" t="e">
        <f t="shared" si="2"/>
        <v>#VALUE!</v>
      </c>
      <c r="Y30" s="168" t="e">
        <f t="shared" si="3"/>
        <v>#VALUE!</v>
      </c>
      <c r="Z30" s="169" t="e">
        <f t="shared" si="4"/>
        <v>#VALUE!</v>
      </c>
      <c r="AA30" s="169" t="e">
        <f t="shared" si="5"/>
        <v>#VALUE!</v>
      </c>
      <c r="AB30" s="169" t="e">
        <f t="shared" si="6"/>
        <v>#VALUE!</v>
      </c>
      <c r="AC30" s="168" t="e">
        <f t="shared" si="7"/>
        <v>#VALUE!</v>
      </c>
      <c r="AD30" s="169" t="e">
        <f>#REF!*#REF!/144</f>
        <v>#REF!</v>
      </c>
      <c r="AE30" s="169" t="e">
        <f>IF(#REF!=0,0,IF(#REF!*#REF!/144&lt;1,1,#REF!*#REF!/144))</f>
        <v>#REF!</v>
      </c>
      <c r="AF30" s="169" t="e">
        <f>$AE30*#REF!</f>
        <v>#REF!</v>
      </c>
      <c r="AG30" s="169" t="e">
        <f t="shared" si="11"/>
        <v>#REF!</v>
      </c>
      <c r="AH30" s="18"/>
    </row>
    <row r="31" spans="1:34" ht="21" customHeight="1" thickBot="1" x14ac:dyDescent="0.25">
      <c r="A31" s="17"/>
      <c r="B31" s="181"/>
      <c r="C31" s="238"/>
      <c r="D31" s="74" t="str">
        <f>IF('Metric Form'!D36="","",'Metric Form'!D36)</f>
        <v/>
      </c>
      <c r="E31" s="237" t="str">
        <f>IF('Metric Form'!E36="","",'Metric Form'!E36-152.4)</f>
        <v/>
      </c>
      <c r="F31" s="237" t="str">
        <f>IF('Metric Form'!F36="","",'Metric Form'!F36-152.4)</f>
        <v/>
      </c>
      <c r="G31" s="15"/>
      <c r="H31" s="185"/>
      <c r="I31" s="182"/>
      <c r="J31" s="74" t="str">
        <f>IF('Metric Form'!J36="","",'Metric Form'!J36)</f>
        <v/>
      </c>
      <c r="K31" s="237" t="str">
        <f>IF('Metric Form'!K36="","",'Metric Form'!K36-152.4)</f>
        <v/>
      </c>
      <c r="L31" s="237" t="str">
        <f>IF('Metric Form'!L36="","",'Metric Form'!L36-152.4)</f>
        <v/>
      </c>
      <c r="M31" s="70"/>
      <c r="N31" s="15"/>
      <c r="O31" s="77" t="str">
        <f>IF('Metric Form'!O36="","",'Metric Form'!O36)</f>
        <v/>
      </c>
      <c r="P31" s="237" t="str">
        <f>IF('Metric Form'!P36="","",'Metric Form'!P36-152.4)</f>
        <v/>
      </c>
      <c r="Q31" s="237" t="str">
        <f>IF('Metric Form'!Q36="","",'Metric Form'!Q36-76.2)</f>
        <v/>
      </c>
      <c r="R31" s="18"/>
      <c r="S31" s="15"/>
      <c r="T31" s="17"/>
      <c r="U31" s="164">
        <v>13</v>
      </c>
      <c r="V31" s="167" t="e">
        <f t="shared" si="0"/>
        <v>#VALUE!</v>
      </c>
      <c r="W31" s="167" t="e">
        <f t="shared" si="1"/>
        <v>#VALUE!</v>
      </c>
      <c r="X31" s="167" t="e">
        <f t="shared" si="2"/>
        <v>#VALUE!</v>
      </c>
      <c r="Y31" s="168" t="e">
        <f t="shared" si="3"/>
        <v>#VALUE!</v>
      </c>
      <c r="Z31" s="169" t="e">
        <f t="shared" si="4"/>
        <v>#VALUE!</v>
      </c>
      <c r="AA31" s="169" t="e">
        <f t="shared" si="5"/>
        <v>#VALUE!</v>
      </c>
      <c r="AB31" s="169" t="e">
        <f t="shared" si="6"/>
        <v>#VALUE!</v>
      </c>
      <c r="AC31" s="168" t="e">
        <f t="shared" si="7"/>
        <v>#VALUE!</v>
      </c>
      <c r="AD31" s="169" t="e">
        <f>#REF!*#REF!/144</f>
        <v>#REF!</v>
      </c>
      <c r="AE31" s="169" t="e">
        <f>IF(#REF!=0,0,IF(#REF!*#REF!/144&lt;1,1,#REF!*#REF!/144))</f>
        <v>#REF!</v>
      </c>
      <c r="AF31" s="169" t="e">
        <f>$AE31*#REF!</f>
        <v>#REF!</v>
      </c>
      <c r="AG31" s="169" t="e">
        <f t="shared" si="11"/>
        <v>#REF!</v>
      </c>
      <c r="AH31" s="18"/>
    </row>
    <row r="32" spans="1:34" ht="21" customHeight="1" thickBot="1" x14ac:dyDescent="0.25">
      <c r="A32" s="17"/>
      <c r="B32" s="181"/>
      <c r="C32" s="238"/>
      <c r="D32" s="74" t="str">
        <f>IF('Metric Form'!D37="","",'Metric Form'!D37)</f>
        <v/>
      </c>
      <c r="E32" s="237" t="str">
        <f>IF('Metric Form'!E37="","",'Metric Form'!E37-152.4)</f>
        <v/>
      </c>
      <c r="F32" s="237" t="str">
        <f>IF('Metric Form'!F37="","",'Metric Form'!F37-152.4)</f>
        <v/>
      </c>
      <c r="G32" s="15"/>
      <c r="H32" s="185"/>
      <c r="I32" s="182"/>
      <c r="J32" s="74" t="str">
        <f>IF('Metric Form'!J37="","",'Metric Form'!J37)</f>
        <v/>
      </c>
      <c r="K32" s="237" t="str">
        <f>IF('Metric Form'!K37="","",'Metric Form'!K37-152.4)</f>
        <v/>
      </c>
      <c r="L32" s="237" t="str">
        <f>IF('Metric Form'!L37="","",'Metric Form'!L37-152.4)</f>
        <v/>
      </c>
      <c r="M32" s="70"/>
      <c r="N32" s="15"/>
      <c r="O32" s="77" t="str">
        <f>IF('Metric Form'!O37="","",'Metric Form'!O37)</f>
        <v/>
      </c>
      <c r="P32" s="237" t="str">
        <f>IF('Metric Form'!P37="","",'Metric Form'!P37-152.4)</f>
        <v/>
      </c>
      <c r="Q32" s="237" t="str">
        <f>IF('Metric Form'!Q37="","",'Metric Form'!Q37-76.2)</f>
        <v/>
      </c>
      <c r="R32" s="18"/>
      <c r="S32" s="15"/>
      <c r="T32" s="17"/>
      <c r="U32" s="164">
        <v>14</v>
      </c>
      <c r="V32" s="167" t="e">
        <f t="shared" si="0"/>
        <v>#VALUE!</v>
      </c>
      <c r="W32" s="167" t="e">
        <f t="shared" si="1"/>
        <v>#VALUE!</v>
      </c>
      <c r="X32" s="167" t="e">
        <f t="shared" si="2"/>
        <v>#VALUE!</v>
      </c>
      <c r="Y32" s="168" t="e">
        <f t="shared" si="3"/>
        <v>#VALUE!</v>
      </c>
      <c r="Z32" s="169" t="e">
        <f t="shared" si="4"/>
        <v>#VALUE!</v>
      </c>
      <c r="AA32" s="169" t="e">
        <f t="shared" si="5"/>
        <v>#VALUE!</v>
      </c>
      <c r="AB32" s="169" t="e">
        <f t="shared" si="6"/>
        <v>#VALUE!</v>
      </c>
      <c r="AC32" s="168" t="e">
        <f t="shared" si="7"/>
        <v>#VALUE!</v>
      </c>
      <c r="AD32" s="169" t="e">
        <f>#REF!*#REF!/144</f>
        <v>#REF!</v>
      </c>
      <c r="AE32" s="169" t="e">
        <f>IF(#REF!=0,0,IF(#REF!*#REF!/144&lt;1,1,#REF!*#REF!/144))</f>
        <v>#REF!</v>
      </c>
      <c r="AF32" s="169" t="e">
        <f>$AE32*#REF!</f>
        <v>#REF!</v>
      </c>
      <c r="AG32" s="169" t="e">
        <f t="shared" si="11"/>
        <v>#REF!</v>
      </c>
      <c r="AH32" s="18"/>
    </row>
    <row r="33" spans="1:34" ht="21" customHeight="1" thickBot="1" x14ac:dyDescent="0.25">
      <c r="A33" s="82"/>
      <c r="B33" s="186"/>
      <c r="C33" s="239"/>
      <c r="D33" s="85" t="str">
        <f>IF('Metric Form'!D38="","",'Metric Form'!D38)</f>
        <v/>
      </c>
      <c r="E33" s="237" t="str">
        <f>IF('Metric Form'!E38="","",'Metric Form'!E38-152.4)</f>
        <v/>
      </c>
      <c r="F33" s="237" t="str">
        <f>IF('Metric Form'!F38="","",'Metric Form'!F38-152.4)</f>
        <v/>
      </c>
      <c r="G33" s="15"/>
      <c r="H33" s="190"/>
      <c r="I33" s="187"/>
      <c r="J33" s="85" t="str">
        <f>IF('Metric Form'!J38="","",'Metric Form'!J38)</f>
        <v/>
      </c>
      <c r="K33" s="237" t="str">
        <f>IF('Metric Form'!K38="","",'Metric Form'!K38-152.4)</f>
        <v/>
      </c>
      <c r="L33" s="237" t="str">
        <f>IF('Metric Form'!L38="","",'Metric Form'!L38-152.4)</f>
        <v/>
      </c>
      <c r="M33" s="70"/>
      <c r="N33" s="15"/>
      <c r="O33" s="89" t="str">
        <f>IF('Metric Form'!O38="","",'Metric Form'!O38)</f>
        <v/>
      </c>
      <c r="P33" s="237" t="str">
        <f>IF('Metric Form'!P38="","",'Metric Form'!P38-152.4)</f>
        <v/>
      </c>
      <c r="Q33" s="237" t="str">
        <f>IF('Metric Form'!Q38="","",'Metric Form'!Q38-76.2)</f>
        <v/>
      </c>
      <c r="R33" s="18"/>
      <c r="S33" s="15"/>
      <c r="T33" s="17"/>
      <c r="U33" s="164">
        <v>15</v>
      </c>
      <c r="V33" s="167" t="e">
        <f t="shared" si="0"/>
        <v>#VALUE!</v>
      </c>
      <c r="W33" s="167" t="e">
        <f t="shared" si="1"/>
        <v>#VALUE!</v>
      </c>
      <c r="X33" s="167" t="e">
        <f t="shared" si="2"/>
        <v>#VALUE!</v>
      </c>
      <c r="Y33" s="168" t="e">
        <f t="shared" si="3"/>
        <v>#VALUE!</v>
      </c>
      <c r="Z33" s="169" t="e">
        <f t="shared" si="4"/>
        <v>#VALUE!</v>
      </c>
      <c r="AA33" s="169" t="e">
        <f t="shared" si="5"/>
        <v>#VALUE!</v>
      </c>
      <c r="AB33" s="169" t="e">
        <f t="shared" si="6"/>
        <v>#VALUE!</v>
      </c>
      <c r="AC33" s="168" t="e">
        <f t="shared" si="7"/>
        <v>#VALUE!</v>
      </c>
      <c r="AD33" s="169" t="e">
        <f>#REF!*#REF!/144</f>
        <v>#REF!</v>
      </c>
      <c r="AE33" s="169" t="e">
        <f>IF(#REF!=0,0,IF(#REF!*#REF!/144&lt;1,1,#REF!*#REF!/144))</f>
        <v>#REF!</v>
      </c>
      <c r="AF33" s="169" t="e">
        <f>$AE33*#REF!</f>
        <v>#REF!</v>
      </c>
      <c r="AG33" s="169" t="e">
        <f t="shared" si="11"/>
        <v>#REF!</v>
      </c>
      <c r="AH33" s="18"/>
    </row>
    <row r="34" spans="1:34" ht="18" customHeight="1" x14ac:dyDescent="0.15">
      <c r="A34" s="17"/>
      <c r="B34" s="25"/>
      <c r="C34" s="15"/>
      <c r="D34" s="90">
        <f>SUM(D19:D33)</f>
        <v>0</v>
      </c>
      <c r="E34" s="91"/>
      <c r="F34" s="91"/>
      <c r="G34" s="15"/>
      <c r="H34" s="25"/>
      <c r="I34" s="15"/>
      <c r="J34" s="90">
        <f>SUM(J19:J33)</f>
        <v>0</v>
      </c>
      <c r="K34" s="91"/>
      <c r="L34" s="91"/>
      <c r="M34" s="15"/>
      <c r="N34" s="15"/>
      <c r="R34" s="18"/>
      <c r="S34" s="15"/>
      <c r="T34" s="17"/>
      <c r="U34" s="164"/>
      <c r="V34" s="15"/>
      <c r="W34" s="15"/>
      <c r="X34" s="15"/>
      <c r="Y34" s="191" t="e">
        <f>SUM(Y19:Y33)</f>
        <v>#VALUE!</v>
      </c>
      <c r="Z34" s="192"/>
      <c r="AA34" s="192"/>
      <c r="AB34" s="192"/>
      <c r="AC34" s="191" t="e">
        <f>SUM(AC19:AC33)</f>
        <v>#VALUE!</v>
      </c>
      <c r="AD34" s="192"/>
      <c r="AE34" s="192"/>
      <c r="AF34" s="192"/>
      <c r="AG34" s="191" t="e">
        <f>SUM(AG19:AG33)</f>
        <v>#VALUE!</v>
      </c>
      <c r="AH34" s="18"/>
    </row>
    <row r="35" spans="1:34" ht="18" customHeight="1" thickBot="1" x14ac:dyDescent="0.2">
      <c r="A35" s="17"/>
      <c r="B35"/>
      <c r="C35"/>
      <c r="D35"/>
      <c r="E35"/>
      <c r="F35"/>
      <c r="G35"/>
      <c r="H35" s="15"/>
      <c r="I35"/>
      <c r="J35"/>
      <c r="K35"/>
      <c r="L35"/>
      <c r="M35" s="115"/>
      <c r="N35"/>
      <c r="R35" s="18"/>
      <c r="S35" s="15"/>
      <c r="T35" s="17"/>
      <c r="U35" s="164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8"/>
    </row>
    <row r="36" spans="1:34" ht="18" customHeight="1" x14ac:dyDescent="0.15">
      <c r="A36" s="17"/>
      <c r="B36" s="2"/>
      <c r="C36"/>
      <c r="D36"/>
      <c r="E36"/>
      <c r="F36"/>
      <c r="G36"/>
      <c r="H36" s="15"/>
      <c r="I36"/>
      <c r="J36"/>
      <c r="K36"/>
      <c r="L36"/>
      <c r="M36" s="139"/>
      <c r="N36"/>
      <c r="O36" s="324" t="s">
        <v>126</v>
      </c>
      <c r="P36" s="325"/>
      <c r="Q36" s="326"/>
      <c r="R36" s="18"/>
      <c r="S36" s="15"/>
      <c r="T36" s="17"/>
      <c r="U36" s="164"/>
      <c r="V36" s="167" t="e">
        <f>#REF!*#REF!/144</f>
        <v>#REF!</v>
      </c>
      <c r="W36" s="167" t="e">
        <f>IF(#REF!=0,0,IF(#REF!*#REF!/144&lt;1,1,#REF!*#REF!/144))</f>
        <v>#REF!</v>
      </c>
      <c r="X36" s="167" t="e">
        <f>$W36*#REF!</f>
        <v>#REF!</v>
      </c>
      <c r="Y36" s="168" t="e">
        <f>CEILING(X36,0.25)</f>
        <v>#REF!</v>
      </c>
      <c r="Z36" s="169" t="e">
        <f>#REF!*#REF!/144</f>
        <v>#REF!</v>
      </c>
      <c r="AA36" s="169" t="e">
        <f>IF(#REF!=0,0,IF(#REF!*#REF!/144&lt;1,1,#REF!*#REF!/144))</f>
        <v>#REF!</v>
      </c>
      <c r="AB36" s="169" t="e">
        <f>$AA36*#REF!</f>
        <v>#REF!</v>
      </c>
      <c r="AC36" s="169" t="e">
        <f>CEILING(AB36,0.5)</f>
        <v>#REF!</v>
      </c>
      <c r="AD36" s="15"/>
      <c r="AE36" s="15"/>
      <c r="AF36" s="15"/>
      <c r="AG36" s="15"/>
      <c r="AH36" s="18"/>
    </row>
    <row r="37" spans="1:34" ht="18" customHeight="1" x14ac:dyDescent="0.2">
      <c r="A37" s="165"/>
      <c r="B37" s="2"/>
      <c r="C37"/>
      <c r="D37"/>
      <c r="E37"/>
      <c r="F37"/>
      <c r="G37"/>
      <c r="H37" s="15"/>
      <c r="I37"/>
      <c r="J37"/>
      <c r="K37"/>
      <c r="L37"/>
      <c r="M37" s="139"/>
      <c r="N37"/>
      <c r="O37" s="432" t="s">
        <v>128</v>
      </c>
      <c r="P37" s="433"/>
      <c r="Q37" s="96">
        <f>D34+J34</f>
        <v>0</v>
      </c>
      <c r="R37" s="18"/>
      <c r="S37" s="15"/>
      <c r="T37" s="17"/>
      <c r="V37" s="167" t="e">
        <f>#REF!*#REF!/144</f>
        <v>#REF!</v>
      </c>
      <c r="W37" s="167" t="e">
        <f>IF(#REF!=0,0,IF(#REF!*#REF!/144&lt;1,1,#REF!*#REF!/144))</f>
        <v>#REF!</v>
      </c>
      <c r="X37" s="167" t="e">
        <f>$W37*#REF!</f>
        <v>#REF!</v>
      </c>
      <c r="Y37" s="168" t="e">
        <f>CEILING(X37,0.25)</f>
        <v>#REF!</v>
      </c>
      <c r="AC37" s="193" t="e">
        <f>SUM(AC36:AC36)</f>
        <v>#REF!</v>
      </c>
      <c r="AH37" s="18"/>
    </row>
    <row r="38" spans="1:34" ht="18" customHeight="1" x14ac:dyDescent="0.2">
      <c r="A38" s="17"/>
      <c r="B38" s="2"/>
      <c r="C38"/>
      <c r="D38"/>
      <c r="E38"/>
      <c r="F38"/>
      <c r="G38"/>
      <c r="H38" s="15"/>
      <c r="I38"/>
      <c r="J38"/>
      <c r="K38"/>
      <c r="L38"/>
      <c r="M38" s="139"/>
      <c r="N38"/>
      <c r="O38" s="434" t="s">
        <v>130</v>
      </c>
      <c r="P38" s="435"/>
      <c r="Q38" s="105">
        <f>SUM(O19:O33)</f>
        <v>0</v>
      </c>
      <c r="R38" s="18"/>
      <c r="S38" s="15"/>
      <c r="T38" s="17"/>
      <c r="V38" s="167" t="e">
        <f>#REF!*#REF!/144</f>
        <v>#REF!</v>
      </c>
      <c r="W38" s="167" t="e">
        <f>IF(#REF!=0,0,IF(#REF!*#REF!/144&lt;1,1,#REF!*#REF!/144))</f>
        <v>#REF!</v>
      </c>
      <c r="X38" s="167" t="e">
        <f>$W38*#REF!</f>
        <v>#REF!</v>
      </c>
      <c r="Y38" s="168" t="e">
        <f>CEILING(X38,0.25)</f>
        <v>#REF!</v>
      </c>
      <c r="Z38" s="169"/>
      <c r="AA38" s="169"/>
      <c r="AB38" s="169"/>
      <c r="AC38" s="169"/>
      <c r="AH38" s="18"/>
    </row>
    <row r="39" spans="1:34" ht="18" customHeight="1" thickBot="1" x14ac:dyDescent="0.25">
      <c r="A39" s="17"/>
      <c r="B39" s="2"/>
      <c r="C39"/>
      <c r="D39"/>
      <c r="E39"/>
      <c r="F39"/>
      <c r="G39"/>
      <c r="H39" s="15"/>
      <c r="I39"/>
      <c r="J39"/>
      <c r="K39"/>
      <c r="L39"/>
      <c r="M39" s="139"/>
      <c r="N39"/>
      <c r="O39" s="430" t="s">
        <v>126</v>
      </c>
      <c r="P39" s="431"/>
      <c r="Q39" s="215">
        <f>SUM(Q37:Q38)</f>
        <v>0</v>
      </c>
      <c r="R39" s="18"/>
      <c r="S39" s="15"/>
      <c r="T39" s="17"/>
      <c r="V39" s="167"/>
      <c r="W39" s="167"/>
      <c r="X39" s="167"/>
      <c r="Y39" s="168"/>
      <c r="Z39" s="169"/>
      <c r="AA39" s="169"/>
      <c r="AB39" s="169"/>
      <c r="AC39" s="169"/>
      <c r="AH39" s="18"/>
    </row>
    <row r="40" spans="1:34" ht="18" customHeight="1" x14ac:dyDescent="0.15">
      <c r="A40" s="17"/>
      <c r="B40" s="2"/>
      <c r="C40"/>
      <c r="D40"/>
      <c r="E40"/>
      <c r="F40"/>
      <c r="G40"/>
      <c r="H40" s="15"/>
      <c r="I40"/>
      <c r="J40"/>
      <c r="K40"/>
      <c r="L40"/>
      <c r="M40" s="139"/>
      <c r="N40"/>
      <c r="O40"/>
      <c r="P40"/>
      <c r="Q40"/>
      <c r="R40" s="18"/>
      <c r="S40" s="15"/>
      <c r="T40" s="17"/>
      <c r="V40" s="167"/>
      <c r="W40" s="167"/>
      <c r="X40" s="167"/>
      <c r="Y40" s="168"/>
      <c r="Z40" s="169"/>
      <c r="AA40" s="169"/>
      <c r="AB40" s="169"/>
      <c r="AC40" s="169"/>
      <c r="AH40" s="18"/>
    </row>
    <row r="41" spans="1:34" ht="18" customHeight="1" x14ac:dyDescent="0.15">
      <c r="A41" s="17"/>
      <c r="B41" s="15"/>
      <c r="C41" s="15"/>
      <c r="D41" s="92"/>
      <c r="E41" s="91"/>
      <c r="F41" s="91"/>
      <c r="G41" s="139"/>
      <c r="H41" s="15"/>
      <c r="I41"/>
      <c r="J41"/>
      <c r="K41"/>
      <c r="L41"/>
      <c r="M41" s="15"/>
      <c r="N41"/>
      <c r="O41"/>
      <c r="P41" s="2"/>
      <c r="Q41"/>
      <c r="R41" s="18"/>
      <c r="S41" s="15"/>
      <c r="T41" s="17"/>
      <c r="U41" s="164"/>
      <c r="V41" s="167">
        <f>E37*F37/144</f>
        <v>0</v>
      </c>
      <c r="W41" s="167">
        <f>IF(D37=0,0,IF(E37*F37/144&lt;1,1,E37*F37/144))</f>
        <v>0</v>
      </c>
      <c r="X41" s="167">
        <f>$W41*$D37</f>
        <v>0</v>
      </c>
      <c r="Y41" s="168">
        <f>CEILING(X41,0.25)</f>
        <v>0</v>
      </c>
      <c r="Z41" s="169">
        <f>J38*K38/144</f>
        <v>0</v>
      </c>
      <c r="AA41" s="169">
        <f>IF(I38=0,0,IF(J38*K38/144&lt;1,1,J38*K38/144))</f>
        <v>0</v>
      </c>
      <c r="AB41" s="169">
        <f>$AA41*$I38</f>
        <v>0</v>
      </c>
      <c r="AC41" s="169">
        <f>CEILING(AB41,0.5)</f>
        <v>0</v>
      </c>
      <c r="AD41" s="15"/>
      <c r="AE41" s="15"/>
      <c r="AF41" s="15"/>
      <c r="AG41" s="15"/>
      <c r="AH41" s="18"/>
    </row>
    <row r="42" spans="1:34" ht="18" customHeight="1" x14ac:dyDescent="0.15">
      <c r="A42" s="104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62" t="s">
        <v>65</v>
      </c>
      <c r="R42" s="145"/>
      <c r="S42" s="15"/>
    </row>
  </sheetData>
  <sheetProtection password="C41E" sheet="1" objects="1" scenarios="1"/>
  <mergeCells count="29">
    <mergeCell ref="O38:P38"/>
    <mergeCell ref="O39:P39"/>
    <mergeCell ref="B17:C17"/>
    <mergeCell ref="H17:I17"/>
    <mergeCell ref="O36:Q36"/>
    <mergeCell ref="O37:P37"/>
    <mergeCell ref="P8:Q8"/>
    <mergeCell ref="B10:C10"/>
    <mergeCell ref="D10:F10"/>
    <mergeCell ref="L10:O10"/>
    <mergeCell ref="B8:C8"/>
    <mergeCell ref="B15:F15"/>
    <mergeCell ref="H15:L15"/>
    <mergeCell ref="O15:Q15"/>
    <mergeCell ref="P10:Q10"/>
    <mergeCell ref="B16:D16"/>
    <mergeCell ref="E16:F16"/>
    <mergeCell ref="H16:J16"/>
    <mergeCell ref="K16:L16"/>
    <mergeCell ref="O16:P16"/>
    <mergeCell ref="L12:M12"/>
    <mergeCell ref="N12:Q12"/>
    <mergeCell ref="B2:E2"/>
    <mergeCell ref="B3:E3"/>
    <mergeCell ref="B4:E4"/>
    <mergeCell ref="B5:E5"/>
    <mergeCell ref="B12:C12"/>
    <mergeCell ref="D12:F12"/>
    <mergeCell ref="D8:F8"/>
  </mergeCells>
  <phoneticPr fontId="0" type="noConversion"/>
  <printOptions horizontalCentered="1"/>
  <pageMargins left="0.39370078740157483" right="0.39370078740157483" top="1.1811023622047245" bottom="0.98425196850393704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48"/>
  <sheetViews>
    <sheetView showGridLines="0" showRuler="0" zoomScale="75" workbookViewId="0">
      <selection activeCell="B5" sqref="B5:E5"/>
    </sheetView>
  </sheetViews>
  <sheetFormatPr baseColWidth="10" defaultColWidth="7.83203125" defaultRowHeight="13" x14ac:dyDescent="0.15"/>
  <cols>
    <col min="1" max="1" width="1.1640625" style="16" customWidth="1"/>
    <col min="2" max="3" width="6.5" style="16" customWidth="1"/>
    <col min="4" max="4" width="8.6640625" style="16" customWidth="1"/>
    <col min="5" max="6" width="14.5" style="16" customWidth="1"/>
    <col min="7" max="7" width="5.83203125" style="16" customWidth="1"/>
    <col min="8" max="9" width="6.5" style="16" customWidth="1"/>
    <col min="10" max="10" width="8.6640625" style="16" customWidth="1"/>
    <col min="11" max="12" width="14.5" style="16" customWidth="1"/>
    <col min="13" max="13" width="1.5" style="16" customWidth="1"/>
    <col min="14" max="14" width="7.33203125" style="16" customWidth="1"/>
    <col min="15" max="15" width="8.6640625" style="16" customWidth="1"/>
    <col min="16" max="17" width="14.5" style="16" customWidth="1"/>
    <col min="18" max="18" width="1.1640625" style="16" customWidth="1"/>
    <col min="19" max="19" width="4.6640625" style="16" customWidth="1"/>
    <col min="20" max="20" width="7.83203125" style="16" hidden="1" customWidth="1"/>
    <col min="21" max="21" width="4.33203125" style="171" hidden="1" customWidth="1"/>
    <col min="22" max="22" width="3.5" style="16" hidden="1" customWidth="1"/>
    <col min="23" max="23" width="4" style="16" hidden="1" customWidth="1"/>
    <col min="24" max="24" width="4.5" style="16" hidden="1" customWidth="1"/>
    <col min="25" max="25" width="6.83203125" style="16" hidden="1" customWidth="1"/>
    <col min="26" max="26" width="3.1640625" style="16" hidden="1" customWidth="1"/>
    <col min="27" max="27" width="5.5" style="16" hidden="1" customWidth="1"/>
    <col min="28" max="28" width="3.1640625" style="16" hidden="1" customWidth="1"/>
    <col min="29" max="29" width="7" style="16" hidden="1" customWidth="1"/>
    <col min="30" max="30" width="4.6640625" style="16" hidden="1" customWidth="1"/>
    <col min="31" max="31" width="5.1640625" style="16" hidden="1" customWidth="1"/>
    <col min="32" max="32" width="5.33203125" style="16" hidden="1" customWidth="1"/>
    <col min="33" max="33" width="7.33203125" style="16" hidden="1" customWidth="1"/>
    <col min="34" max="34" width="5.5" style="16" hidden="1" customWidth="1"/>
    <col min="35" max="36" width="5.33203125" style="16" customWidth="1"/>
    <col min="37" max="37" width="4.5" style="16" customWidth="1"/>
    <col min="38" max="38" width="5.83203125" style="16" customWidth="1"/>
    <col min="39" max="39" width="5.5" style="16" customWidth="1"/>
    <col min="40" max="40" width="13.6640625" style="16" customWidth="1"/>
    <col min="41" max="16384" width="7.83203125" style="16"/>
  </cols>
  <sheetData>
    <row r="1" spans="1:34" ht="15" customHeight="1" thickBot="1" x14ac:dyDescent="0.2">
      <c r="A1" s="11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4"/>
      <c r="S1" s="15"/>
    </row>
    <row r="2" spans="1:34" ht="15" customHeight="1" x14ac:dyDescent="0.2">
      <c r="A2" s="17"/>
      <c r="B2" s="417" t="s">
        <v>164</v>
      </c>
      <c r="C2" s="418"/>
      <c r="D2" s="418"/>
      <c r="E2" s="419"/>
      <c r="F2" s="15"/>
      <c r="G2" s="15"/>
      <c r="H2" s="15"/>
      <c r="I2" s="15"/>
      <c r="J2" s="15"/>
      <c r="K2" s="15"/>
      <c r="L2" s="15"/>
      <c r="M2" s="15"/>
      <c r="N2" s="15"/>
      <c r="O2"/>
      <c r="P2"/>
      <c r="Q2"/>
      <c r="R2" s="18"/>
      <c r="S2" s="15"/>
    </row>
    <row r="3" spans="1:34" ht="15" customHeight="1" thickBot="1" x14ac:dyDescent="0.25">
      <c r="A3" s="17"/>
      <c r="B3" s="420" t="s">
        <v>165</v>
      </c>
      <c r="C3" s="421"/>
      <c r="D3" s="421"/>
      <c r="E3" s="422"/>
      <c r="F3" s="15"/>
      <c r="G3" s="15"/>
      <c r="H3" s="15"/>
      <c r="I3" s="15"/>
      <c r="J3" s="15"/>
      <c r="K3" s="15"/>
      <c r="L3" s="15"/>
      <c r="M3" s="15"/>
      <c r="N3" s="15"/>
      <c r="O3"/>
      <c r="P3"/>
      <c r="Q3"/>
      <c r="R3" s="18"/>
      <c r="S3" s="15"/>
    </row>
    <row r="4" spans="1:34" ht="15" customHeight="1" x14ac:dyDescent="0.15">
      <c r="A4" s="17"/>
      <c r="B4" s="425" t="s">
        <v>331</v>
      </c>
      <c r="C4" s="426"/>
      <c r="D4" s="426"/>
      <c r="E4" s="427"/>
      <c r="F4" s="15"/>
      <c r="G4" s="15"/>
      <c r="H4" s="15"/>
      <c r="I4" s="15"/>
      <c r="J4" s="15"/>
      <c r="K4" s="15"/>
      <c r="L4" s="15"/>
      <c r="M4" s="15"/>
      <c r="N4" s="15"/>
      <c r="O4"/>
      <c r="P4"/>
      <c r="Q4"/>
      <c r="R4" s="18"/>
      <c r="S4" s="15"/>
    </row>
    <row r="5" spans="1:34" ht="17" customHeight="1" thickBot="1" x14ac:dyDescent="0.25">
      <c r="A5" s="17"/>
      <c r="B5" s="395">
        <f>'Metric Form'!B5</f>
        <v>0</v>
      </c>
      <c r="C5" s="396"/>
      <c r="D5" s="396"/>
      <c r="E5" s="397"/>
      <c r="F5" s="15"/>
      <c r="G5" s="15"/>
      <c r="H5" s="15"/>
      <c r="I5" s="15"/>
      <c r="J5" s="15"/>
      <c r="K5" s="15"/>
      <c r="L5" s="15"/>
      <c r="M5" s="15"/>
      <c r="N5" s="15"/>
      <c r="O5"/>
      <c r="P5"/>
      <c r="Q5"/>
      <c r="R5" s="18"/>
      <c r="S5" s="15"/>
    </row>
    <row r="6" spans="1:34" ht="15" customHeight="1" x14ac:dyDescent="0.15">
      <c r="A6" s="17"/>
      <c r="B6" s="19"/>
      <c r="C6" s="19"/>
      <c r="D6" s="19"/>
      <c r="E6" s="19"/>
      <c r="F6" s="15"/>
      <c r="G6" s="15"/>
      <c r="H6" s="15"/>
      <c r="I6" s="15"/>
      <c r="J6" s="15"/>
      <c r="K6" s="15"/>
      <c r="L6" s="15"/>
      <c r="M6" s="15"/>
      <c r="N6" s="15"/>
      <c r="O6"/>
      <c r="P6"/>
      <c r="Q6"/>
      <c r="R6" s="18"/>
      <c r="S6" s="15"/>
    </row>
    <row r="7" spans="1:34" ht="15" customHeight="1" x14ac:dyDescent="0.1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8"/>
      <c r="S7" s="15"/>
    </row>
    <row r="8" spans="1:34" ht="18" customHeight="1" x14ac:dyDescent="0.2">
      <c r="A8" s="17"/>
      <c r="B8" s="376" t="s">
        <v>332</v>
      </c>
      <c r="C8" s="377"/>
      <c r="D8" s="390" t="str">
        <f>'Metric Form'!D8</f>
        <v>Cabinetmart Inc</v>
      </c>
      <c r="E8" s="391"/>
      <c r="F8" s="391"/>
      <c r="G8" s="15"/>
      <c r="H8" s="20"/>
      <c r="I8" s="21"/>
      <c r="J8" s="21"/>
      <c r="K8" s="21"/>
      <c r="L8" s="15"/>
      <c r="M8" s="15"/>
      <c r="N8" s="15"/>
      <c r="O8" s="22" t="s">
        <v>333</v>
      </c>
      <c r="P8" s="423">
        <f ca="1">NOW()</f>
        <v>43453.491455555559</v>
      </c>
      <c r="Q8" s="424"/>
      <c r="R8" s="18"/>
      <c r="S8" s="15"/>
    </row>
    <row r="9" spans="1:34" ht="15" customHeight="1" x14ac:dyDescent="0.15">
      <c r="A9" s="17"/>
      <c r="B9" s="2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4"/>
      <c r="P9" s="15"/>
      <c r="Q9" s="15"/>
      <c r="R9" s="18"/>
      <c r="S9" s="15"/>
    </row>
    <row r="10" spans="1:34" ht="18" customHeight="1" x14ac:dyDescent="0.2">
      <c r="A10" s="17"/>
      <c r="B10" s="376" t="s">
        <v>334</v>
      </c>
      <c r="C10" s="377"/>
      <c r="D10" s="390">
        <f>'Metric Form'!D10</f>
        <v>0</v>
      </c>
      <c r="E10" s="391"/>
      <c r="F10" s="391"/>
      <c r="G10" s="15"/>
      <c r="I10" s="15"/>
      <c r="J10" s="15"/>
      <c r="K10" s="15"/>
      <c r="L10" s="376" t="s">
        <v>335</v>
      </c>
      <c r="M10" s="392"/>
      <c r="N10" s="392"/>
      <c r="O10" s="393"/>
      <c r="P10" s="394">
        <f>'Metric Form'!P10</f>
        <v>0</v>
      </c>
      <c r="Q10" s="394"/>
      <c r="R10" s="18"/>
      <c r="S10" s="15"/>
    </row>
    <row r="11" spans="1:34" ht="15" customHeight="1" x14ac:dyDescent="0.15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15"/>
    </row>
    <row r="12" spans="1:34" ht="18" customHeight="1" x14ac:dyDescent="0.2">
      <c r="A12" s="17"/>
      <c r="B12" s="376" t="s">
        <v>349</v>
      </c>
      <c r="C12" s="377"/>
      <c r="D12" s="378">
        <f>'Metric Form'!D12</f>
        <v>0</v>
      </c>
      <c r="E12" s="379"/>
      <c r="F12" s="380"/>
      <c r="G12" s="15"/>
      <c r="H12" s="15"/>
      <c r="I12" s="15"/>
      <c r="J12" s="15"/>
      <c r="K12" s="15"/>
      <c r="L12" s="381" t="s">
        <v>336</v>
      </c>
      <c r="M12" s="382"/>
      <c r="N12" s="378">
        <f>'Metric Form'!N12</f>
        <v>0</v>
      </c>
      <c r="O12" s="379"/>
      <c r="P12" s="379"/>
      <c r="Q12" s="380"/>
      <c r="R12" s="18"/>
      <c r="S12" s="15"/>
    </row>
    <row r="13" spans="1:34" ht="15" customHeight="1" x14ac:dyDescent="0.15">
      <c r="A13" s="17"/>
      <c r="B13" s="25"/>
      <c r="C13" s="25"/>
      <c r="D13" s="25"/>
      <c r="E13" s="25"/>
      <c r="F13" s="2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8"/>
      <c r="S13" s="15"/>
    </row>
    <row r="14" spans="1:34" ht="15" customHeight="1" thickBot="1" x14ac:dyDescent="0.2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8"/>
      <c r="S14" s="15"/>
      <c r="T14" s="11"/>
      <c r="U14" s="16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4"/>
    </row>
    <row r="15" spans="1:34" ht="18" customHeight="1" x14ac:dyDescent="0.15">
      <c r="A15" s="17"/>
      <c r="B15" s="324" t="s">
        <v>166</v>
      </c>
      <c r="C15" s="337"/>
      <c r="D15" s="337"/>
      <c r="E15" s="337"/>
      <c r="F15" s="338"/>
      <c r="G15" s="15"/>
      <c r="H15" s="324" t="s">
        <v>167</v>
      </c>
      <c r="I15" s="337"/>
      <c r="J15" s="337"/>
      <c r="K15" s="337"/>
      <c r="L15" s="338"/>
      <c r="M15" s="41"/>
      <c r="N15" s="15"/>
      <c r="O15" s="324" t="s">
        <v>168</v>
      </c>
      <c r="P15" s="337"/>
      <c r="Q15" s="338"/>
      <c r="R15" s="18"/>
      <c r="S15" s="15"/>
      <c r="T15" s="17"/>
      <c r="U15" s="164"/>
      <c r="V15" s="15"/>
      <c r="W15" s="15"/>
      <c r="X15" s="15"/>
      <c r="Y15" s="15" t="s">
        <v>155</v>
      </c>
      <c r="Z15" s="15"/>
      <c r="AA15" s="15"/>
      <c r="AB15" s="15"/>
      <c r="AC15" s="15" t="s">
        <v>155</v>
      </c>
      <c r="AD15" s="15"/>
      <c r="AE15" s="15"/>
      <c r="AF15" s="15"/>
      <c r="AG15" s="15" t="s">
        <v>155</v>
      </c>
      <c r="AH15" s="18"/>
    </row>
    <row r="16" spans="1:34" ht="17.25" customHeight="1" x14ac:dyDescent="0.2">
      <c r="A16" s="17"/>
      <c r="B16" s="371" t="s">
        <v>348</v>
      </c>
      <c r="C16" s="372"/>
      <c r="D16" s="373"/>
      <c r="E16" s="414"/>
      <c r="F16" s="415"/>
      <c r="G16" s="15"/>
      <c r="H16" s="371" t="s">
        <v>117</v>
      </c>
      <c r="I16" s="372"/>
      <c r="J16" s="373"/>
      <c r="K16" s="414"/>
      <c r="L16" s="415"/>
      <c r="M16" s="21"/>
      <c r="N16" s="15"/>
      <c r="O16" s="416" t="s">
        <v>162</v>
      </c>
      <c r="P16" s="377"/>
      <c r="Q16" s="241">
        <f>'Metric Form'!Q21</f>
        <v>0</v>
      </c>
      <c r="R16" s="18"/>
      <c r="S16" s="15"/>
      <c r="T16" s="17"/>
      <c r="U16" s="164" t="s">
        <v>156</v>
      </c>
      <c r="V16" s="15"/>
      <c r="W16" s="15"/>
      <c r="X16" s="15"/>
      <c r="Y16" s="15" t="s">
        <v>280</v>
      </c>
      <c r="Z16" s="15"/>
      <c r="AA16" s="15"/>
      <c r="AB16" s="15"/>
      <c r="AC16" s="15" t="s">
        <v>283</v>
      </c>
      <c r="AD16" s="15"/>
      <c r="AE16" s="15"/>
      <c r="AF16" s="15"/>
      <c r="AG16" s="15" t="s">
        <v>286</v>
      </c>
      <c r="AH16" s="18"/>
    </row>
    <row r="17" spans="1:34" ht="18" customHeight="1" x14ac:dyDescent="0.15">
      <c r="A17" s="17"/>
      <c r="B17" s="353" t="s">
        <v>118</v>
      </c>
      <c r="C17" s="354"/>
      <c r="D17" s="44" t="s">
        <v>119</v>
      </c>
      <c r="E17" s="44" t="s">
        <v>120</v>
      </c>
      <c r="F17" s="45" t="s">
        <v>121</v>
      </c>
      <c r="G17" s="15"/>
      <c r="H17" s="355" t="s">
        <v>118</v>
      </c>
      <c r="I17" s="356"/>
      <c r="J17" s="46" t="s">
        <v>119</v>
      </c>
      <c r="K17" s="46" t="s">
        <v>120</v>
      </c>
      <c r="L17" s="47" t="s">
        <v>121</v>
      </c>
      <c r="M17" s="48"/>
      <c r="N17" s="15"/>
      <c r="O17" s="49" t="s">
        <v>119</v>
      </c>
      <c r="P17" s="50" t="s">
        <v>120</v>
      </c>
      <c r="Q17" s="51" t="s">
        <v>121</v>
      </c>
      <c r="R17" s="18"/>
      <c r="S17" s="15"/>
      <c r="T17" s="104"/>
      <c r="U17" s="166" t="s">
        <v>157</v>
      </c>
      <c r="V17" s="140"/>
      <c r="W17" s="140"/>
      <c r="X17" s="140"/>
      <c r="Y17" s="140" t="s">
        <v>128</v>
      </c>
      <c r="Z17" s="140"/>
      <c r="AA17" s="140"/>
      <c r="AB17" s="140"/>
      <c r="AC17" s="140" t="s">
        <v>128</v>
      </c>
      <c r="AD17" s="140"/>
      <c r="AE17" s="140"/>
      <c r="AF17" s="140"/>
      <c r="AG17" s="140" t="s">
        <v>158</v>
      </c>
      <c r="AH17" s="145"/>
    </row>
    <row r="18" spans="1:34" ht="12" customHeight="1" thickBot="1" x14ac:dyDescent="0.2">
      <c r="A18" s="17"/>
      <c r="B18" s="52" t="s">
        <v>122</v>
      </c>
      <c r="C18" s="53" t="s">
        <v>123</v>
      </c>
      <c r="D18" s="54"/>
      <c r="E18" s="54"/>
      <c r="F18" s="55"/>
      <c r="G18" s="15"/>
      <c r="H18" s="56" t="s">
        <v>122</v>
      </c>
      <c r="I18" s="57" t="s">
        <v>123</v>
      </c>
      <c r="J18" s="58"/>
      <c r="K18" s="58"/>
      <c r="L18" s="59"/>
      <c r="M18" s="21"/>
      <c r="N18" s="15"/>
      <c r="O18" s="60"/>
      <c r="P18" s="61"/>
      <c r="Q18" s="62"/>
      <c r="R18" s="18"/>
      <c r="S18" s="15"/>
      <c r="T18" s="17"/>
      <c r="U18" s="164"/>
      <c r="V18" s="15"/>
      <c r="W18" s="15"/>
      <c r="X18" s="15"/>
      <c r="Y18" s="175"/>
      <c r="Z18" s="15"/>
      <c r="AA18" s="15"/>
      <c r="AB18" s="15"/>
      <c r="AC18" s="175"/>
      <c r="AD18" s="15"/>
      <c r="AE18" s="15"/>
      <c r="AF18" s="15"/>
      <c r="AG18" s="15"/>
      <c r="AH18" s="18"/>
    </row>
    <row r="19" spans="1:34" ht="21" customHeight="1" x14ac:dyDescent="0.2">
      <c r="A19" s="17"/>
      <c r="B19" s="176"/>
      <c r="C19" s="177"/>
      <c r="D19" s="194" t="str">
        <f>IF('Metric Form'!D24="","",IF('Metric Form'!D24&gt;0,'Metric Form'!D24))</f>
        <v/>
      </c>
      <c r="E19" s="178" t="str">
        <f>IF('Metric Form'!E24="","",'Metric Form'!E24-(53.975*2))</f>
        <v/>
      </c>
      <c r="F19" s="179" t="str">
        <f>IF('Metric Form'!F24="","",'Metric Form'!F24-(53.975*2))</f>
        <v/>
      </c>
      <c r="G19" s="15"/>
      <c r="H19" s="180"/>
      <c r="I19" s="177"/>
      <c r="J19" s="194" t="str">
        <f>IF('Metric Form'!J24="","",IF('Metric Form'!J24&gt;0,'Metric Form'!J24))</f>
        <v/>
      </c>
      <c r="K19" s="178" t="str">
        <f>IF('Metric Form'!K24="","",'Metric Form'!K24-(53.975*2))</f>
        <v/>
      </c>
      <c r="L19" s="179" t="str">
        <f>IF('Metric Form'!L24="","",'Metric Form'!L24-(53.975*2))</f>
        <v/>
      </c>
      <c r="M19" s="70"/>
      <c r="N19" s="15"/>
      <c r="O19" s="102" t="str">
        <f>IF('Metric Form'!O24="","",IF('Metric Form'!O24&gt;0,'Metric Form'!O24))</f>
        <v/>
      </c>
      <c r="P19" s="178" t="str">
        <f>IF('Metric Form'!P24="","",'Metric Form'!P24-(53.975*2))</f>
        <v/>
      </c>
      <c r="Q19" s="179" t="str">
        <f>IF('Metric Form'!Q24="","",'Metric Form'!Q24-(53.975*2))</f>
        <v/>
      </c>
      <c r="R19" s="18"/>
      <c r="S19" s="15"/>
      <c r="T19" s="17"/>
      <c r="U19" s="164">
        <v>1</v>
      </c>
      <c r="V19" s="167" t="e">
        <f>E19*F19/144</f>
        <v>#VALUE!</v>
      </c>
      <c r="W19" s="167" t="e">
        <f>IF(D19=0,0,IF(E19*F19/144&lt;1,1,E19*F19/144))</f>
        <v>#VALUE!</v>
      </c>
      <c r="X19" s="167" t="e">
        <f>$W19*$D19</f>
        <v>#VALUE!</v>
      </c>
      <c r="Y19" s="168">
        <v>0</v>
      </c>
      <c r="Z19" s="169">
        <v>80.925017361111117</v>
      </c>
      <c r="AA19" s="169">
        <v>0</v>
      </c>
      <c r="AB19" s="169">
        <v>0</v>
      </c>
      <c r="AC19" s="168">
        <v>0</v>
      </c>
      <c r="AD19" s="169">
        <v>80.925017361111117</v>
      </c>
      <c r="AE19" s="169">
        <v>0</v>
      </c>
      <c r="AF19" s="169">
        <v>0</v>
      </c>
      <c r="AG19" s="169">
        <v>0</v>
      </c>
      <c r="AH19" s="18"/>
    </row>
    <row r="20" spans="1:34" ht="21" customHeight="1" x14ac:dyDescent="0.2">
      <c r="A20" s="17"/>
      <c r="B20" s="181"/>
      <c r="C20" s="182"/>
      <c r="D20" s="74" t="str">
        <f>IF('Metric Form'!D25="","",IF('Metric Form'!D25&gt;0,'Metric Form'!D25))</f>
        <v/>
      </c>
      <c r="E20" s="183" t="str">
        <f>IF('Metric Form'!E25="","",'Metric Form'!E25-(53.975*2))</f>
        <v/>
      </c>
      <c r="F20" s="184" t="str">
        <f>IF('Metric Form'!F25="","",'Metric Form'!F25-(53.975*2))</f>
        <v/>
      </c>
      <c r="G20" s="15"/>
      <c r="H20" s="185"/>
      <c r="I20" s="182"/>
      <c r="J20" s="74" t="str">
        <f>IF('Metric Form'!J25="","",IF('Metric Form'!J25&gt;0,'Metric Form'!J25))</f>
        <v/>
      </c>
      <c r="K20" s="183" t="str">
        <f>IF('Metric Form'!K25="","",'Metric Form'!K25-(53.975*2))</f>
        <v/>
      </c>
      <c r="L20" s="184" t="str">
        <f>IF('Metric Form'!L25="","",'Metric Form'!L25-(53.975*2))</f>
        <v/>
      </c>
      <c r="M20" s="70"/>
      <c r="N20" s="15"/>
      <c r="O20" s="77" t="str">
        <f>IF('Metric Form'!O25="","",IF('Metric Form'!O25&gt;0,'Metric Form'!O25))</f>
        <v/>
      </c>
      <c r="P20" s="183" t="str">
        <f>IF('Metric Form'!P25="","",'Metric Form'!P25-(53.975*2))</f>
        <v/>
      </c>
      <c r="Q20" s="184" t="str">
        <f>IF('Metric Form'!Q25="","",'Metric Form'!Q25-(53.975*2))</f>
        <v/>
      </c>
      <c r="R20" s="18"/>
      <c r="S20" s="15"/>
      <c r="T20" s="17"/>
      <c r="U20" s="164">
        <v>2</v>
      </c>
      <c r="V20" s="167" t="e">
        <f t="shared" ref="V20:V33" si="0">E20*F20/144</f>
        <v>#VALUE!</v>
      </c>
      <c r="W20" s="167" t="e">
        <f t="shared" ref="W20:W33" si="1">IF(D20=0,0,IF(E20*F20/144&lt;1,1,E20*F20/144))</f>
        <v>#VALUE!</v>
      </c>
      <c r="X20" s="167" t="e">
        <f t="shared" ref="X20:X33" si="2">$W20*$D20</f>
        <v>#VALUE!</v>
      </c>
      <c r="Y20" s="168">
        <v>0</v>
      </c>
      <c r="Z20" s="169">
        <v>80.925017361111117</v>
      </c>
      <c r="AA20" s="169">
        <v>0</v>
      </c>
      <c r="AB20" s="169">
        <v>0</v>
      </c>
      <c r="AC20" s="168">
        <v>0</v>
      </c>
      <c r="AD20" s="169">
        <v>80.925017361111117</v>
      </c>
      <c r="AE20" s="169">
        <v>0</v>
      </c>
      <c r="AF20" s="169">
        <v>0</v>
      </c>
      <c r="AG20" s="169">
        <v>0</v>
      </c>
      <c r="AH20" s="18"/>
    </row>
    <row r="21" spans="1:34" ht="21" customHeight="1" x14ac:dyDescent="0.2">
      <c r="A21" s="17"/>
      <c r="B21" s="181"/>
      <c r="C21" s="182"/>
      <c r="D21" s="74" t="str">
        <f>IF('Metric Form'!D26="","",IF('Metric Form'!D26&gt;0,'Metric Form'!D26))</f>
        <v/>
      </c>
      <c r="E21" s="183" t="str">
        <f>IF('Metric Form'!E26="","",'Metric Form'!E26-(53.975*2))</f>
        <v/>
      </c>
      <c r="F21" s="184" t="str">
        <f>IF('Metric Form'!F26="","",'Metric Form'!F26-(53.975*2))</f>
        <v/>
      </c>
      <c r="G21" s="15"/>
      <c r="H21" s="185"/>
      <c r="I21" s="182"/>
      <c r="J21" s="74" t="str">
        <f>IF('Metric Form'!J26="","",IF('Metric Form'!J26&gt;0,'Metric Form'!J26))</f>
        <v/>
      </c>
      <c r="K21" s="183" t="str">
        <f>IF('Metric Form'!K26="","",'Metric Form'!K26-(53.975*2))</f>
        <v/>
      </c>
      <c r="L21" s="184" t="str">
        <f>IF('Metric Form'!L26="","",'Metric Form'!L26-(53.975*2))</f>
        <v/>
      </c>
      <c r="M21" s="70"/>
      <c r="N21" s="15"/>
      <c r="O21" s="77" t="str">
        <f>IF('Metric Form'!O26="","",IF('Metric Form'!O26&gt;0,'Metric Form'!O26))</f>
        <v/>
      </c>
      <c r="P21" s="183" t="str">
        <f>IF('Metric Form'!P26="","",'Metric Form'!P26-(53.975*2))</f>
        <v/>
      </c>
      <c r="Q21" s="184" t="str">
        <f>IF('Metric Form'!Q26="","",'Metric Form'!Q26-(53.975*2))</f>
        <v/>
      </c>
      <c r="R21" s="18"/>
      <c r="S21" s="15"/>
      <c r="T21" s="17"/>
      <c r="U21" s="164">
        <v>3</v>
      </c>
      <c r="V21" s="167" t="e">
        <f t="shared" si="0"/>
        <v>#VALUE!</v>
      </c>
      <c r="W21" s="167" t="e">
        <f t="shared" si="1"/>
        <v>#VALUE!</v>
      </c>
      <c r="X21" s="167" t="e">
        <f t="shared" si="2"/>
        <v>#VALUE!</v>
      </c>
      <c r="Y21" s="168">
        <v>0</v>
      </c>
      <c r="Z21" s="169">
        <v>80.925017361111117</v>
      </c>
      <c r="AA21" s="169">
        <v>0</v>
      </c>
      <c r="AB21" s="169">
        <v>0</v>
      </c>
      <c r="AC21" s="168">
        <v>0</v>
      </c>
      <c r="AD21" s="169">
        <v>80.925017361111117</v>
      </c>
      <c r="AE21" s="169">
        <v>0</v>
      </c>
      <c r="AF21" s="169">
        <v>0</v>
      </c>
      <c r="AG21" s="169">
        <v>0</v>
      </c>
      <c r="AH21" s="18"/>
    </row>
    <row r="22" spans="1:34" ht="21" customHeight="1" x14ac:dyDescent="0.2">
      <c r="A22" s="17"/>
      <c r="B22" s="181"/>
      <c r="C22" s="182"/>
      <c r="D22" s="74" t="str">
        <f>IF('Metric Form'!D27="","",IF('Metric Form'!D27&gt;0,'Metric Form'!D27))</f>
        <v/>
      </c>
      <c r="E22" s="183" t="str">
        <f>IF('Metric Form'!E27="","",'Metric Form'!E27-(53.975*2))</f>
        <v/>
      </c>
      <c r="F22" s="184" t="str">
        <f>IF('Metric Form'!F27="","",'Metric Form'!F27-(53.975*2))</f>
        <v/>
      </c>
      <c r="G22" s="15"/>
      <c r="H22" s="185"/>
      <c r="I22" s="182"/>
      <c r="J22" s="74" t="str">
        <f>IF('Metric Form'!J27="","",IF('Metric Form'!J27&gt;0,'Metric Form'!J27))</f>
        <v/>
      </c>
      <c r="K22" s="183" t="str">
        <f>IF('Metric Form'!K27="","",'Metric Form'!K27-(53.975*2))</f>
        <v/>
      </c>
      <c r="L22" s="184" t="str">
        <f>IF('Metric Form'!L27="","",'Metric Form'!L27-(53.975*2))</f>
        <v/>
      </c>
      <c r="M22" s="70"/>
      <c r="N22" s="15"/>
      <c r="O22" s="77" t="str">
        <f>IF('Metric Form'!O27="","",IF('Metric Form'!O27&gt;0,'Metric Form'!O27))</f>
        <v/>
      </c>
      <c r="P22" s="183" t="str">
        <f>IF('Metric Form'!P27="","",'Metric Form'!P27-(53.975*2))</f>
        <v/>
      </c>
      <c r="Q22" s="184" t="str">
        <f>IF('Metric Form'!Q27="","",'Metric Form'!Q27-(53.975*2))</f>
        <v/>
      </c>
      <c r="R22" s="18"/>
      <c r="S22" s="15"/>
      <c r="T22" s="17"/>
      <c r="U22" s="164">
        <v>4</v>
      </c>
      <c r="V22" s="167" t="e">
        <f t="shared" si="0"/>
        <v>#VALUE!</v>
      </c>
      <c r="W22" s="167" t="e">
        <f t="shared" si="1"/>
        <v>#VALUE!</v>
      </c>
      <c r="X22" s="167" t="e">
        <f t="shared" si="2"/>
        <v>#VALUE!</v>
      </c>
      <c r="Y22" s="168">
        <v>0</v>
      </c>
      <c r="Z22" s="169">
        <v>80.925017361111117</v>
      </c>
      <c r="AA22" s="169">
        <v>0</v>
      </c>
      <c r="AB22" s="169">
        <v>0</v>
      </c>
      <c r="AC22" s="168">
        <v>0</v>
      </c>
      <c r="AD22" s="169">
        <v>80.925017361111117</v>
      </c>
      <c r="AE22" s="169">
        <v>0</v>
      </c>
      <c r="AF22" s="169">
        <v>0</v>
      </c>
      <c r="AG22" s="169">
        <v>0</v>
      </c>
      <c r="AH22" s="18"/>
    </row>
    <row r="23" spans="1:34" ht="21" customHeight="1" x14ac:dyDescent="0.2">
      <c r="A23" s="17"/>
      <c r="B23" s="181"/>
      <c r="C23" s="182"/>
      <c r="D23" s="74" t="str">
        <f>IF('Metric Form'!D28="","",IF('Metric Form'!D28&gt;0,'Metric Form'!D28))</f>
        <v/>
      </c>
      <c r="E23" s="183" t="str">
        <f>IF('Metric Form'!E28="","",'Metric Form'!E28-(53.975*2))</f>
        <v/>
      </c>
      <c r="F23" s="184" t="str">
        <f>IF('Metric Form'!F28="","",'Metric Form'!F28-(53.975*2))</f>
        <v/>
      </c>
      <c r="G23" s="15"/>
      <c r="H23" s="185"/>
      <c r="I23" s="182"/>
      <c r="J23" s="74" t="str">
        <f>IF('Metric Form'!J28="","",IF('Metric Form'!J28&gt;0,'Metric Form'!J28))</f>
        <v/>
      </c>
      <c r="K23" s="183" t="str">
        <f>IF('Metric Form'!K28="","",'Metric Form'!K28-(53.975*2))</f>
        <v/>
      </c>
      <c r="L23" s="184" t="str">
        <f>IF('Metric Form'!L28="","",'Metric Form'!L28-(53.975*2))</f>
        <v/>
      </c>
      <c r="M23" s="70"/>
      <c r="N23" s="15"/>
      <c r="O23" s="77" t="str">
        <f>IF('Metric Form'!O28="","",IF('Metric Form'!O28&gt;0,'Metric Form'!O28))</f>
        <v/>
      </c>
      <c r="P23" s="183" t="str">
        <f>IF('Metric Form'!P28="","",'Metric Form'!P28-(53.975*2))</f>
        <v/>
      </c>
      <c r="Q23" s="184" t="str">
        <f>IF('Metric Form'!Q28="","",'Metric Form'!Q28-(53.975*2))</f>
        <v/>
      </c>
      <c r="R23" s="18"/>
      <c r="S23" s="15"/>
      <c r="T23" s="17"/>
      <c r="U23" s="164">
        <v>5</v>
      </c>
      <c r="V23" s="167" t="e">
        <f t="shared" si="0"/>
        <v>#VALUE!</v>
      </c>
      <c r="W23" s="167" t="e">
        <f t="shared" si="1"/>
        <v>#VALUE!</v>
      </c>
      <c r="X23" s="167" t="e">
        <f t="shared" si="2"/>
        <v>#VALUE!</v>
      </c>
      <c r="Y23" s="168">
        <v>0</v>
      </c>
      <c r="Z23" s="169">
        <v>80.925017361111117</v>
      </c>
      <c r="AA23" s="169">
        <v>0</v>
      </c>
      <c r="AB23" s="169">
        <v>0</v>
      </c>
      <c r="AC23" s="168">
        <v>0</v>
      </c>
      <c r="AD23" s="169">
        <v>80.925017361111117</v>
      </c>
      <c r="AE23" s="169">
        <v>0</v>
      </c>
      <c r="AF23" s="169">
        <v>0</v>
      </c>
      <c r="AG23" s="169">
        <v>0</v>
      </c>
      <c r="AH23" s="18"/>
    </row>
    <row r="24" spans="1:34" ht="21" customHeight="1" x14ac:dyDescent="0.2">
      <c r="A24" s="17"/>
      <c r="B24" s="181"/>
      <c r="C24" s="182"/>
      <c r="D24" s="74" t="str">
        <f>IF('Metric Form'!D29="","",IF('Metric Form'!D29&gt;0,'Metric Form'!D29))</f>
        <v/>
      </c>
      <c r="E24" s="183" t="str">
        <f>IF('Metric Form'!E29="","",'Metric Form'!E29-(53.975*2))</f>
        <v/>
      </c>
      <c r="F24" s="184" t="str">
        <f>IF('Metric Form'!F29="","",'Metric Form'!F29-(53.975*2))</f>
        <v/>
      </c>
      <c r="G24" s="15"/>
      <c r="H24" s="185"/>
      <c r="I24" s="182"/>
      <c r="J24" s="74" t="str">
        <f>IF('Metric Form'!J29="","",IF('Metric Form'!J29&gt;0,'Metric Form'!J29))</f>
        <v/>
      </c>
      <c r="K24" s="183" t="str">
        <f>IF('Metric Form'!K29="","",'Metric Form'!K29-(53.975*2))</f>
        <v/>
      </c>
      <c r="L24" s="184" t="str">
        <f>IF('Metric Form'!L29="","",'Metric Form'!L29-(53.975*2))</f>
        <v/>
      </c>
      <c r="M24" s="70"/>
      <c r="N24" s="15"/>
      <c r="O24" s="77" t="str">
        <f>IF('Metric Form'!O29="","",IF('Metric Form'!O29&gt;0,'Metric Form'!O29))</f>
        <v/>
      </c>
      <c r="P24" s="183" t="str">
        <f>IF('Metric Form'!P29="","",'Metric Form'!P29-(53.975*2))</f>
        <v/>
      </c>
      <c r="Q24" s="184" t="str">
        <f>IF('Metric Form'!Q29="","",'Metric Form'!Q29-(53.975*2))</f>
        <v/>
      </c>
      <c r="R24" s="18"/>
      <c r="S24" s="15"/>
      <c r="T24" s="17"/>
      <c r="U24" s="164">
        <v>6</v>
      </c>
      <c r="V24" s="167" t="e">
        <f t="shared" si="0"/>
        <v>#VALUE!</v>
      </c>
      <c r="W24" s="167" t="e">
        <f t="shared" si="1"/>
        <v>#VALUE!</v>
      </c>
      <c r="X24" s="167" t="e">
        <f t="shared" si="2"/>
        <v>#VALUE!</v>
      </c>
      <c r="Y24" s="168">
        <v>0</v>
      </c>
      <c r="Z24" s="169">
        <v>80.925017361111117</v>
      </c>
      <c r="AA24" s="169">
        <v>0</v>
      </c>
      <c r="AB24" s="169">
        <v>0</v>
      </c>
      <c r="AC24" s="168">
        <v>0</v>
      </c>
      <c r="AD24" s="169">
        <v>80.925017361111117</v>
      </c>
      <c r="AE24" s="169">
        <v>0</v>
      </c>
      <c r="AF24" s="169">
        <v>0</v>
      </c>
      <c r="AG24" s="169">
        <v>0</v>
      </c>
      <c r="AH24" s="18"/>
    </row>
    <row r="25" spans="1:34" ht="21" customHeight="1" x14ac:dyDescent="0.2">
      <c r="A25" s="17"/>
      <c r="B25" s="181"/>
      <c r="C25" s="182"/>
      <c r="D25" s="74" t="str">
        <f>IF('Metric Form'!D30="","",IF('Metric Form'!D30&gt;0,'Metric Form'!D30))</f>
        <v/>
      </c>
      <c r="E25" s="183" t="str">
        <f>IF('Metric Form'!E30="","",'Metric Form'!E30-(53.975*2))</f>
        <v/>
      </c>
      <c r="F25" s="184" t="str">
        <f>IF('Metric Form'!F30="","",'Metric Form'!F30-(53.975*2))</f>
        <v/>
      </c>
      <c r="G25" s="15"/>
      <c r="H25" s="185"/>
      <c r="I25" s="182"/>
      <c r="J25" s="74" t="str">
        <f>IF('Metric Form'!J30="","",IF('Metric Form'!J30&gt;0,'Metric Form'!J30))</f>
        <v/>
      </c>
      <c r="K25" s="183" t="str">
        <f>IF('Metric Form'!K30="","",'Metric Form'!K30-(53.975*2))</f>
        <v/>
      </c>
      <c r="L25" s="184" t="str">
        <f>IF('Metric Form'!L30="","",'Metric Form'!L30-(53.975*2))</f>
        <v/>
      </c>
      <c r="M25" s="70"/>
      <c r="N25" s="15"/>
      <c r="O25" s="77" t="str">
        <f>IF('Metric Form'!O30="","",IF('Metric Form'!O30&gt;0,'Metric Form'!O30))</f>
        <v/>
      </c>
      <c r="P25" s="183" t="str">
        <f>IF('Metric Form'!P30="","",'Metric Form'!P30-(53.975*2))</f>
        <v/>
      </c>
      <c r="Q25" s="184" t="str">
        <f>IF('Metric Form'!Q30="","",'Metric Form'!Q30-(53.975*2))</f>
        <v/>
      </c>
      <c r="R25" s="18"/>
      <c r="S25" s="15"/>
      <c r="T25" s="17"/>
      <c r="U25" s="164">
        <v>7</v>
      </c>
      <c r="V25" s="167" t="e">
        <f t="shared" si="0"/>
        <v>#VALUE!</v>
      </c>
      <c r="W25" s="167" t="e">
        <f t="shared" si="1"/>
        <v>#VALUE!</v>
      </c>
      <c r="X25" s="167" t="e">
        <f t="shared" si="2"/>
        <v>#VALUE!</v>
      </c>
      <c r="Y25" s="168">
        <v>0</v>
      </c>
      <c r="Z25" s="169">
        <v>80.925017361111117</v>
      </c>
      <c r="AA25" s="169">
        <v>0</v>
      </c>
      <c r="AB25" s="169">
        <v>0</v>
      </c>
      <c r="AC25" s="168">
        <v>0</v>
      </c>
      <c r="AD25" s="169">
        <v>80.925017361111117</v>
      </c>
      <c r="AE25" s="169">
        <v>0</v>
      </c>
      <c r="AF25" s="169">
        <v>0</v>
      </c>
      <c r="AG25" s="169">
        <v>0</v>
      </c>
      <c r="AH25" s="18"/>
    </row>
    <row r="26" spans="1:34" ht="21" customHeight="1" x14ac:dyDescent="0.2">
      <c r="A26" s="17"/>
      <c r="B26" s="181"/>
      <c r="C26" s="182"/>
      <c r="D26" s="74" t="str">
        <f>IF('Metric Form'!D31="","",IF('Metric Form'!D31&gt;0,'Metric Form'!D31))</f>
        <v/>
      </c>
      <c r="E26" s="183" t="str">
        <f>IF('Metric Form'!E31="","",'Metric Form'!E31-(53.975*2))</f>
        <v/>
      </c>
      <c r="F26" s="184" t="str">
        <f>IF('Metric Form'!F31="","",'Metric Form'!F31-(53.975*2))</f>
        <v/>
      </c>
      <c r="G26" s="15"/>
      <c r="H26" s="185"/>
      <c r="I26" s="182"/>
      <c r="J26" s="74" t="str">
        <f>IF('Metric Form'!J31="","",IF('Metric Form'!J31&gt;0,'Metric Form'!J31))</f>
        <v/>
      </c>
      <c r="K26" s="183" t="str">
        <f>IF('Metric Form'!K31="","",'Metric Form'!K31-(53.975*2))</f>
        <v/>
      </c>
      <c r="L26" s="184" t="str">
        <f>IF('Metric Form'!L31="","",'Metric Form'!L31-(53.975*2))</f>
        <v/>
      </c>
      <c r="M26" s="70"/>
      <c r="N26" s="15"/>
      <c r="O26" s="77" t="str">
        <f>IF('Metric Form'!O31="","",IF('Metric Form'!O31&gt;0,'Metric Form'!O31))</f>
        <v/>
      </c>
      <c r="P26" s="183" t="str">
        <f>IF('Metric Form'!P31="","",'Metric Form'!P31-(53.975*2))</f>
        <v/>
      </c>
      <c r="Q26" s="184" t="str">
        <f>IF('Metric Form'!Q31="","",'Metric Form'!Q31-(53.975*2))</f>
        <v/>
      </c>
      <c r="R26" s="18"/>
      <c r="S26" s="15"/>
      <c r="T26" s="17"/>
      <c r="U26" s="164">
        <v>8</v>
      </c>
      <c r="V26" s="167" t="e">
        <f t="shared" si="0"/>
        <v>#VALUE!</v>
      </c>
      <c r="W26" s="167" t="e">
        <f t="shared" si="1"/>
        <v>#VALUE!</v>
      </c>
      <c r="X26" s="167" t="e">
        <f t="shared" si="2"/>
        <v>#VALUE!</v>
      </c>
      <c r="Y26" s="168">
        <v>0</v>
      </c>
      <c r="Z26" s="169">
        <v>80.925017361111117</v>
      </c>
      <c r="AA26" s="169">
        <v>0</v>
      </c>
      <c r="AB26" s="169">
        <v>0</v>
      </c>
      <c r="AC26" s="168">
        <v>0</v>
      </c>
      <c r="AD26" s="169">
        <v>80.925017361111117</v>
      </c>
      <c r="AE26" s="169">
        <v>0</v>
      </c>
      <c r="AF26" s="169">
        <v>0</v>
      </c>
      <c r="AG26" s="169">
        <v>0</v>
      </c>
      <c r="AH26" s="18"/>
    </row>
    <row r="27" spans="1:34" ht="21" customHeight="1" x14ac:dyDescent="0.2">
      <c r="A27" s="17"/>
      <c r="B27" s="181"/>
      <c r="C27" s="182"/>
      <c r="D27" s="74" t="str">
        <f>IF('Metric Form'!D32="","",IF('Metric Form'!D32&gt;0,'Metric Form'!D32))</f>
        <v/>
      </c>
      <c r="E27" s="183" t="str">
        <f>IF('Metric Form'!E32="","",'Metric Form'!E32-(53.975*2))</f>
        <v/>
      </c>
      <c r="F27" s="184" t="str">
        <f>IF('Metric Form'!F32="","",'Metric Form'!F32-(53.975*2))</f>
        <v/>
      </c>
      <c r="G27" s="15"/>
      <c r="H27" s="185"/>
      <c r="I27" s="182"/>
      <c r="J27" s="74" t="str">
        <f>IF('Metric Form'!J32="","",IF('Metric Form'!J32&gt;0,'Metric Form'!J32))</f>
        <v/>
      </c>
      <c r="K27" s="183" t="str">
        <f>IF('Metric Form'!K32="","",'Metric Form'!K32-(53.975*2))</f>
        <v/>
      </c>
      <c r="L27" s="184" t="str">
        <f>IF('Metric Form'!L32="","",'Metric Form'!L32-(53.975*2))</f>
        <v/>
      </c>
      <c r="M27" s="70"/>
      <c r="N27" s="15"/>
      <c r="O27" s="77" t="str">
        <f>IF('Metric Form'!O32="","",IF('Metric Form'!O32&gt;0,'Metric Form'!O32))</f>
        <v/>
      </c>
      <c r="P27" s="183" t="str">
        <f>IF('Metric Form'!P32="","",'Metric Form'!P32-(53.975*2))</f>
        <v/>
      </c>
      <c r="Q27" s="184" t="str">
        <f>IF('Metric Form'!Q32="","",'Metric Form'!Q32-(53.975*2))</f>
        <v/>
      </c>
      <c r="R27" s="18"/>
      <c r="S27" s="15"/>
      <c r="T27" s="17"/>
      <c r="U27" s="164">
        <v>9</v>
      </c>
      <c r="V27" s="167" t="e">
        <f t="shared" si="0"/>
        <v>#VALUE!</v>
      </c>
      <c r="W27" s="167" t="e">
        <f t="shared" si="1"/>
        <v>#VALUE!</v>
      </c>
      <c r="X27" s="167" t="e">
        <f t="shared" si="2"/>
        <v>#VALUE!</v>
      </c>
      <c r="Y27" s="168">
        <v>0</v>
      </c>
      <c r="Z27" s="169">
        <v>80.925017361111117</v>
      </c>
      <c r="AA27" s="169">
        <v>0</v>
      </c>
      <c r="AB27" s="169">
        <v>0</v>
      </c>
      <c r="AC27" s="168">
        <v>0</v>
      </c>
      <c r="AD27" s="169">
        <v>80.925017361111117</v>
      </c>
      <c r="AE27" s="169">
        <v>0</v>
      </c>
      <c r="AF27" s="169">
        <v>0</v>
      </c>
      <c r="AG27" s="169">
        <v>0</v>
      </c>
      <c r="AH27" s="18"/>
    </row>
    <row r="28" spans="1:34" ht="21" customHeight="1" x14ac:dyDescent="0.2">
      <c r="A28" s="17"/>
      <c r="B28" s="181"/>
      <c r="C28" s="182"/>
      <c r="D28" s="74" t="str">
        <f>IF('Metric Form'!D33="","",IF('Metric Form'!D33&gt;0,'Metric Form'!D33))</f>
        <v/>
      </c>
      <c r="E28" s="183" t="str">
        <f>IF('Metric Form'!E33="","",'Metric Form'!E33-(53.975*2))</f>
        <v/>
      </c>
      <c r="F28" s="184" t="str">
        <f>IF('Metric Form'!F33="","",'Metric Form'!F33-(53.975*2))</f>
        <v/>
      </c>
      <c r="G28" s="15"/>
      <c r="H28" s="185"/>
      <c r="I28" s="182"/>
      <c r="J28" s="74" t="str">
        <f>IF('Metric Form'!J33="","",IF('Metric Form'!J33&gt;0,'Metric Form'!J33))</f>
        <v/>
      </c>
      <c r="K28" s="183" t="str">
        <f>IF('Metric Form'!K33="","",'Metric Form'!K33-(53.975*2))</f>
        <v/>
      </c>
      <c r="L28" s="184" t="str">
        <f>IF('Metric Form'!L33="","",'Metric Form'!L33-(53.975*2))</f>
        <v/>
      </c>
      <c r="M28" s="70"/>
      <c r="N28" s="15"/>
      <c r="O28" s="77" t="str">
        <f>IF('Metric Form'!O33="","",IF('Metric Form'!O33&gt;0,'Metric Form'!O33))</f>
        <v/>
      </c>
      <c r="P28" s="183" t="str">
        <f>IF('Metric Form'!P33="","",'Metric Form'!P33-(53.975*2))</f>
        <v/>
      </c>
      <c r="Q28" s="184" t="str">
        <f>IF('Metric Form'!Q33="","",'Metric Form'!Q33-(53.975*2))</f>
        <v/>
      </c>
      <c r="R28" s="18"/>
      <c r="S28" s="15"/>
      <c r="T28" s="17"/>
      <c r="U28" s="164">
        <v>10</v>
      </c>
      <c r="V28" s="167" t="e">
        <f t="shared" si="0"/>
        <v>#VALUE!</v>
      </c>
      <c r="W28" s="167" t="e">
        <f t="shared" si="1"/>
        <v>#VALUE!</v>
      </c>
      <c r="X28" s="167" t="e">
        <f t="shared" si="2"/>
        <v>#VALUE!</v>
      </c>
      <c r="Y28" s="168">
        <v>0</v>
      </c>
      <c r="Z28" s="169">
        <v>80.925017361111117</v>
      </c>
      <c r="AA28" s="169">
        <v>0</v>
      </c>
      <c r="AB28" s="169">
        <v>0</v>
      </c>
      <c r="AC28" s="168">
        <v>0</v>
      </c>
      <c r="AD28" s="169">
        <v>80.925017361111117</v>
      </c>
      <c r="AE28" s="169">
        <v>0</v>
      </c>
      <c r="AF28" s="169">
        <v>0</v>
      </c>
      <c r="AG28" s="169">
        <v>0</v>
      </c>
      <c r="AH28" s="18"/>
    </row>
    <row r="29" spans="1:34" ht="21" customHeight="1" x14ac:dyDescent="0.2">
      <c r="A29" s="17"/>
      <c r="B29" s="181"/>
      <c r="C29" s="182"/>
      <c r="D29" s="74" t="str">
        <f>IF('Metric Form'!D34="","",IF('Metric Form'!D34&gt;0,'Metric Form'!D34))</f>
        <v/>
      </c>
      <c r="E29" s="183" t="str">
        <f>IF('Metric Form'!E34="","",'Metric Form'!E34-(53.975*2))</f>
        <v/>
      </c>
      <c r="F29" s="184" t="str">
        <f>IF('Metric Form'!F34="","",'Metric Form'!F34-(53.975*2))</f>
        <v/>
      </c>
      <c r="G29" s="15"/>
      <c r="H29" s="185"/>
      <c r="I29" s="182"/>
      <c r="J29" s="74" t="str">
        <f>IF('Metric Form'!J34="","",IF('Metric Form'!J34&gt;0,'Metric Form'!J34))</f>
        <v/>
      </c>
      <c r="K29" s="183" t="str">
        <f>IF('Metric Form'!K34="","",'Metric Form'!K34-(53.975*2))</f>
        <v/>
      </c>
      <c r="L29" s="184" t="str">
        <f>IF('Metric Form'!L34="","",'Metric Form'!L34-(53.975*2))</f>
        <v/>
      </c>
      <c r="M29" s="70"/>
      <c r="N29" s="15"/>
      <c r="O29" s="77" t="str">
        <f>IF('Metric Form'!O34="","",IF('Metric Form'!O34&gt;0,'Metric Form'!O34))</f>
        <v/>
      </c>
      <c r="P29" s="183" t="str">
        <f>IF('Metric Form'!P34="","",'Metric Form'!P34-(53.975*2))</f>
        <v/>
      </c>
      <c r="Q29" s="184" t="str">
        <f>IF('Metric Form'!Q34="","",'Metric Form'!Q34-(53.975*2))</f>
        <v/>
      </c>
      <c r="R29" s="18"/>
      <c r="S29" s="15"/>
      <c r="T29" s="17"/>
      <c r="U29" s="164">
        <v>11</v>
      </c>
      <c r="V29" s="167" t="e">
        <f t="shared" si="0"/>
        <v>#VALUE!</v>
      </c>
      <c r="W29" s="167" t="e">
        <f t="shared" si="1"/>
        <v>#VALUE!</v>
      </c>
      <c r="X29" s="167" t="e">
        <f t="shared" si="2"/>
        <v>#VALUE!</v>
      </c>
      <c r="Y29" s="168">
        <v>0</v>
      </c>
      <c r="Z29" s="169">
        <v>80.925017361111117</v>
      </c>
      <c r="AA29" s="169">
        <v>0</v>
      </c>
      <c r="AB29" s="169">
        <v>0</v>
      </c>
      <c r="AC29" s="168">
        <v>0</v>
      </c>
      <c r="AD29" s="169">
        <v>80.925017361111117</v>
      </c>
      <c r="AE29" s="169">
        <v>0</v>
      </c>
      <c r="AF29" s="169">
        <v>0</v>
      </c>
      <c r="AG29" s="169">
        <v>0</v>
      </c>
      <c r="AH29" s="18"/>
    </row>
    <row r="30" spans="1:34" ht="21" customHeight="1" x14ac:dyDescent="0.2">
      <c r="A30" s="17"/>
      <c r="B30" s="181"/>
      <c r="C30" s="182"/>
      <c r="D30" s="74" t="str">
        <f>IF('Metric Form'!D35="","",IF('Metric Form'!D35&gt;0,'Metric Form'!D35))</f>
        <v/>
      </c>
      <c r="E30" s="183" t="str">
        <f>IF('Metric Form'!E35="","",'Metric Form'!E35-(53.975*2))</f>
        <v/>
      </c>
      <c r="F30" s="184" t="str">
        <f>IF('Metric Form'!F35="","",'Metric Form'!F35-(53.975*2))</f>
        <v/>
      </c>
      <c r="G30" s="15"/>
      <c r="H30" s="185"/>
      <c r="I30" s="182"/>
      <c r="J30" s="74" t="str">
        <f>IF('Metric Form'!J35="","",IF('Metric Form'!J35&gt;0,'Metric Form'!J35))</f>
        <v/>
      </c>
      <c r="K30" s="183" t="str">
        <f>IF('Metric Form'!K35="","",'Metric Form'!K35-(53.975*2))</f>
        <v/>
      </c>
      <c r="L30" s="184" t="str">
        <f>IF('Metric Form'!L35="","",'Metric Form'!L35-(53.975*2))</f>
        <v/>
      </c>
      <c r="M30" s="70"/>
      <c r="N30" s="15"/>
      <c r="O30" s="77" t="str">
        <f>IF('Metric Form'!O35="","",IF('Metric Form'!O35&gt;0,'Metric Form'!O35))</f>
        <v/>
      </c>
      <c r="P30" s="183" t="str">
        <f>IF('Metric Form'!P35="","",'Metric Form'!P35-(53.975*2))</f>
        <v/>
      </c>
      <c r="Q30" s="184" t="str">
        <f>IF('Metric Form'!Q35="","",'Metric Form'!Q35-(53.975*2))</f>
        <v/>
      </c>
      <c r="R30" s="18"/>
      <c r="S30" s="15"/>
      <c r="T30" s="17"/>
      <c r="U30" s="164">
        <v>12</v>
      </c>
      <c r="V30" s="167" t="e">
        <f t="shared" si="0"/>
        <v>#VALUE!</v>
      </c>
      <c r="W30" s="167" t="e">
        <f t="shared" si="1"/>
        <v>#VALUE!</v>
      </c>
      <c r="X30" s="167" t="e">
        <f t="shared" si="2"/>
        <v>#VALUE!</v>
      </c>
      <c r="Y30" s="168">
        <v>0</v>
      </c>
      <c r="Z30" s="169">
        <v>80.925017361111117</v>
      </c>
      <c r="AA30" s="169">
        <v>0</v>
      </c>
      <c r="AB30" s="169">
        <v>0</v>
      </c>
      <c r="AC30" s="168">
        <v>0</v>
      </c>
      <c r="AD30" s="169">
        <v>80.925017361111117</v>
      </c>
      <c r="AE30" s="169">
        <v>0</v>
      </c>
      <c r="AF30" s="169">
        <v>0</v>
      </c>
      <c r="AG30" s="169">
        <v>0</v>
      </c>
      <c r="AH30" s="18"/>
    </row>
    <row r="31" spans="1:34" ht="21" customHeight="1" x14ac:dyDescent="0.2">
      <c r="A31" s="17"/>
      <c r="B31" s="181"/>
      <c r="C31" s="182"/>
      <c r="D31" s="74" t="str">
        <f>IF('Metric Form'!D36="","",IF('Metric Form'!D36&gt;0,'Metric Form'!D36))</f>
        <v/>
      </c>
      <c r="E31" s="183" t="str">
        <f>IF('Metric Form'!E36="","",'Metric Form'!E36-(53.975*2))</f>
        <v/>
      </c>
      <c r="F31" s="184" t="str">
        <f>IF('Metric Form'!F36="","",'Metric Form'!F36-(53.975*2))</f>
        <v/>
      </c>
      <c r="G31" s="15"/>
      <c r="H31" s="185"/>
      <c r="I31" s="182"/>
      <c r="J31" s="74" t="str">
        <f>IF('Metric Form'!J36="","",IF('Metric Form'!J36&gt;0,'Metric Form'!J36))</f>
        <v/>
      </c>
      <c r="K31" s="183" t="str">
        <f>IF('Metric Form'!K36="","",'Metric Form'!K36-(53.975*2))</f>
        <v/>
      </c>
      <c r="L31" s="184" t="str">
        <f>IF('Metric Form'!L36="","",'Metric Form'!L36-(53.975*2))</f>
        <v/>
      </c>
      <c r="M31" s="70"/>
      <c r="N31" s="15"/>
      <c r="O31" s="77" t="str">
        <f>IF('Metric Form'!O36="","",IF('Metric Form'!O36&gt;0,'Metric Form'!O36))</f>
        <v/>
      </c>
      <c r="P31" s="183" t="str">
        <f>IF('Metric Form'!P36="","",'Metric Form'!P36-(53.975*2))</f>
        <v/>
      </c>
      <c r="Q31" s="184" t="str">
        <f>IF('Metric Form'!Q36="","",'Metric Form'!Q36-(53.975*2))</f>
        <v/>
      </c>
      <c r="R31" s="18"/>
      <c r="S31" s="15"/>
      <c r="T31" s="17"/>
      <c r="U31" s="164">
        <v>13</v>
      </c>
      <c r="V31" s="167" t="e">
        <f t="shared" si="0"/>
        <v>#VALUE!</v>
      </c>
      <c r="W31" s="167" t="e">
        <f t="shared" si="1"/>
        <v>#VALUE!</v>
      </c>
      <c r="X31" s="167" t="e">
        <f t="shared" si="2"/>
        <v>#VALUE!</v>
      </c>
      <c r="Y31" s="168">
        <v>0</v>
      </c>
      <c r="Z31" s="169">
        <v>80.925017361111117</v>
      </c>
      <c r="AA31" s="169">
        <v>0</v>
      </c>
      <c r="AB31" s="169">
        <v>0</v>
      </c>
      <c r="AC31" s="168">
        <v>0</v>
      </c>
      <c r="AD31" s="169">
        <v>80.925017361111117</v>
      </c>
      <c r="AE31" s="169">
        <v>0</v>
      </c>
      <c r="AF31" s="169">
        <v>0</v>
      </c>
      <c r="AG31" s="169">
        <v>0</v>
      </c>
      <c r="AH31" s="18"/>
    </row>
    <row r="32" spans="1:34" ht="21" customHeight="1" x14ac:dyDescent="0.2">
      <c r="A32" s="17"/>
      <c r="B32" s="181"/>
      <c r="C32" s="182"/>
      <c r="D32" s="74" t="str">
        <f>IF('Metric Form'!D37="","",IF('Metric Form'!D37&gt;0,'Metric Form'!D37))</f>
        <v/>
      </c>
      <c r="E32" s="183" t="str">
        <f>IF('Metric Form'!E37="","",'Metric Form'!E37-(53.975*2))</f>
        <v/>
      </c>
      <c r="F32" s="184" t="str">
        <f>IF('Metric Form'!F37="","",'Metric Form'!F37-(53.975*2))</f>
        <v/>
      </c>
      <c r="G32" s="15"/>
      <c r="H32" s="185"/>
      <c r="I32" s="182"/>
      <c r="J32" s="74" t="str">
        <f>IF('Metric Form'!J37="","",IF('Metric Form'!J37&gt;0,'Metric Form'!J37))</f>
        <v/>
      </c>
      <c r="K32" s="183" t="str">
        <f>IF('Metric Form'!K37="","",'Metric Form'!K37-(53.975*2))</f>
        <v/>
      </c>
      <c r="L32" s="184" t="str">
        <f>IF('Metric Form'!L37="","",'Metric Form'!L37-(53.975*2))</f>
        <v/>
      </c>
      <c r="M32" s="70"/>
      <c r="N32" s="15"/>
      <c r="O32" s="77" t="str">
        <f>IF('Metric Form'!O37="","",IF('Metric Form'!O37&gt;0,'Metric Form'!O37))</f>
        <v/>
      </c>
      <c r="P32" s="183" t="str">
        <f>IF('Metric Form'!P37="","",'Metric Form'!P37-(53.975*2))</f>
        <v/>
      </c>
      <c r="Q32" s="184" t="str">
        <f>IF('Metric Form'!Q37="","",'Metric Form'!Q37-(53.975*2))</f>
        <v/>
      </c>
      <c r="R32" s="18"/>
      <c r="S32" s="15"/>
      <c r="T32" s="17"/>
      <c r="U32" s="164">
        <v>14</v>
      </c>
      <c r="V32" s="167" t="e">
        <f t="shared" si="0"/>
        <v>#VALUE!</v>
      </c>
      <c r="W32" s="167" t="e">
        <f t="shared" si="1"/>
        <v>#VALUE!</v>
      </c>
      <c r="X32" s="167" t="e">
        <f t="shared" si="2"/>
        <v>#VALUE!</v>
      </c>
      <c r="Y32" s="168">
        <v>0</v>
      </c>
      <c r="Z32" s="169">
        <v>80.925017361111117</v>
      </c>
      <c r="AA32" s="169">
        <v>0</v>
      </c>
      <c r="AB32" s="169">
        <v>0</v>
      </c>
      <c r="AC32" s="168">
        <v>0</v>
      </c>
      <c r="AD32" s="169">
        <v>80.925017361111117</v>
      </c>
      <c r="AE32" s="169">
        <v>0</v>
      </c>
      <c r="AF32" s="169">
        <v>0</v>
      </c>
      <c r="AG32" s="169">
        <v>0</v>
      </c>
      <c r="AH32" s="18"/>
    </row>
    <row r="33" spans="1:34" ht="21" customHeight="1" thickBot="1" x14ac:dyDescent="0.25">
      <c r="A33" s="82"/>
      <c r="B33" s="186"/>
      <c r="C33" s="187"/>
      <c r="D33" s="85" t="str">
        <f>IF('Metric Form'!D38="","",IF('Metric Form'!D38&gt;0,'Metric Form'!D38))</f>
        <v/>
      </c>
      <c r="E33" s="188" t="str">
        <f>IF('Metric Form'!E38="","",'Metric Form'!E38-(53.975*2))</f>
        <v/>
      </c>
      <c r="F33" s="189" t="str">
        <f>IF('Metric Form'!F38="","",'Metric Form'!F38-(53.975*2))</f>
        <v/>
      </c>
      <c r="G33" s="15"/>
      <c r="H33" s="190"/>
      <c r="I33" s="187"/>
      <c r="J33" s="85" t="str">
        <f>IF('Metric Form'!J38="","",IF('Metric Form'!J38&gt;0,'Metric Form'!J38))</f>
        <v/>
      </c>
      <c r="K33" s="188" t="str">
        <f>IF('Metric Form'!K38="","",'Metric Form'!K38-(53.975*2))</f>
        <v/>
      </c>
      <c r="L33" s="189" t="str">
        <f>IF('Metric Form'!L38="","",'Metric Form'!L38-(53.975*2))</f>
        <v/>
      </c>
      <c r="M33" s="70"/>
      <c r="N33" s="15"/>
      <c r="O33" s="89" t="str">
        <f>IF('Metric Form'!O38="","",IF('Metric Form'!O38&gt;0,'Metric Form'!O38))</f>
        <v/>
      </c>
      <c r="P33" s="188" t="str">
        <f>IF('Metric Form'!P38="","",'Metric Form'!P38-(53.975*2))</f>
        <v/>
      </c>
      <c r="Q33" s="189" t="str">
        <f>IF('Metric Form'!Q38="","",'Metric Form'!Q38-(53.975*2))</f>
        <v/>
      </c>
      <c r="R33" s="18"/>
      <c r="S33" s="15"/>
      <c r="T33" s="17"/>
      <c r="U33" s="164">
        <v>15</v>
      </c>
      <c r="V33" s="167" t="e">
        <f t="shared" si="0"/>
        <v>#VALUE!</v>
      </c>
      <c r="W33" s="167" t="e">
        <f t="shared" si="1"/>
        <v>#VALUE!</v>
      </c>
      <c r="X33" s="167" t="e">
        <f t="shared" si="2"/>
        <v>#VALUE!</v>
      </c>
      <c r="Y33" s="168">
        <v>0</v>
      </c>
      <c r="Z33" s="169">
        <v>80.925017361111117</v>
      </c>
      <c r="AA33" s="169">
        <v>0</v>
      </c>
      <c r="AB33" s="169">
        <v>0</v>
      </c>
      <c r="AC33" s="168">
        <v>0</v>
      </c>
      <c r="AD33" s="169">
        <v>80.925017361111117</v>
      </c>
      <c r="AE33" s="169">
        <v>0</v>
      </c>
      <c r="AF33" s="169">
        <v>0</v>
      </c>
      <c r="AG33" s="169">
        <v>0</v>
      </c>
      <c r="AH33" s="18"/>
    </row>
    <row r="34" spans="1:34" ht="18" customHeight="1" thickBot="1" x14ac:dyDescent="0.2">
      <c r="A34" s="17"/>
      <c r="B34" s="25"/>
      <c r="C34" s="15"/>
      <c r="D34" s="90">
        <v>0</v>
      </c>
      <c r="E34" s="91"/>
      <c r="F34" s="91"/>
      <c r="G34" s="15"/>
      <c r="H34" s="25"/>
      <c r="I34" s="15"/>
      <c r="J34" s="90">
        <v>0</v>
      </c>
      <c r="K34" s="91"/>
      <c r="L34" s="91"/>
      <c r="M34" s="15"/>
      <c r="N34" s="15"/>
      <c r="O34" s="92"/>
      <c r="P34" s="91"/>
      <c r="Q34" s="91"/>
      <c r="R34" s="18"/>
      <c r="S34" s="15"/>
      <c r="T34" s="17"/>
      <c r="U34" s="164"/>
      <c r="V34" s="15"/>
      <c r="W34" s="15"/>
      <c r="X34" s="15"/>
      <c r="Y34" s="191">
        <v>0</v>
      </c>
      <c r="Z34" s="192"/>
      <c r="AA34" s="192"/>
      <c r="AB34" s="192"/>
      <c r="AC34" s="191">
        <v>0</v>
      </c>
      <c r="AD34" s="192"/>
      <c r="AE34" s="192"/>
      <c r="AF34" s="192"/>
      <c r="AG34" s="191">
        <v>0</v>
      </c>
      <c r="AH34" s="18"/>
    </row>
    <row r="35" spans="1:34" ht="18" customHeight="1" thickBot="1" x14ac:dyDescent="0.2">
      <c r="A35" s="17"/>
      <c r="B35"/>
      <c r="C35"/>
      <c r="D35"/>
      <c r="E35"/>
      <c r="F35"/>
      <c r="G35"/>
      <c r="H35" s="15"/>
      <c r="I35"/>
      <c r="J35"/>
      <c r="K35"/>
      <c r="L35"/>
      <c r="M35" s="21"/>
      <c r="N35"/>
      <c r="O35" s="324" t="s">
        <v>126</v>
      </c>
      <c r="P35" s="349"/>
      <c r="Q35" s="350"/>
      <c r="R35" s="18"/>
      <c r="S35" s="15"/>
      <c r="T35" s="17"/>
      <c r="U35" s="164"/>
      <c r="V35" s="15"/>
      <c r="W35" s="15"/>
      <c r="X35" s="15"/>
      <c r="Y35" s="169"/>
      <c r="Z35" s="170"/>
      <c r="AA35" s="170"/>
      <c r="AB35" s="170"/>
      <c r="AC35" s="169"/>
      <c r="AD35" s="170"/>
      <c r="AE35" s="170"/>
      <c r="AF35" s="170"/>
      <c r="AG35" s="169"/>
      <c r="AH35" s="18"/>
    </row>
    <row r="36" spans="1:34" ht="18" customHeight="1" x14ac:dyDescent="0.2">
      <c r="A36" s="17"/>
      <c r="B36" s="324" t="s">
        <v>124</v>
      </c>
      <c r="C36" s="349"/>
      <c r="D36" s="349"/>
      <c r="E36" s="349"/>
      <c r="F36" s="349"/>
      <c r="G36" s="350"/>
      <c r="H36" s="15"/>
      <c r="I36"/>
      <c r="J36"/>
      <c r="K36"/>
      <c r="L36"/>
      <c r="M36" s="21"/>
      <c r="N36"/>
      <c r="O36" s="412" t="s">
        <v>128</v>
      </c>
      <c r="P36" s="413"/>
      <c r="Q36" s="96">
        <f>D34+J34</f>
        <v>0</v>
      </c>
      <c r="R36" s="18"/>
      <c r="S36" s="15"/>
      <c r="T36" s="17"/>
      <c r="U36" s="164"/>
      <c r="V36" s="15"/>
      <c r="W36" s="15"/>
      <c r="X36" s="15"/>
      <c r="Y36" s="170" t="s">
        <v>163</v>
      </c>
      <c r="Z36" s="170"/>
      <c r="AA36" s="170"/>
      <c r="AB36" s="170"/>
      <c r="AC36" s="191" t="e">
        <v>#REF!</v>
      </c>
      <c r="AD36" s="170"/>
      <c r="AE36" s="170"/>
      <c r="AF36" s="170"/>
      <c r="AG36" s="170"/>
      <c r="AH36" s="18"/>
    </row>
    <row r="37" spans="1:34" ht="18" customHeight="1" x14ac:dyDescent="0.2">
      <c r="A37" s="17"/>
      <c r="B37" s="353" t="s">
        <v>118</v>
      </c>
      <c r="C37" s="354"/>
      <c r="D37" s="357"/>
      <c r="E37" s="358"/>
      <c r="F37" s="358"/>
      <c r="G37" s="359"/>
      <c r="H37" s="15"/>
      <c r="I37"/>
      <c r="J37"/>
      <c r="K37"/>
      <c r="L37"/>
      <c r="M37" s="115"/>
      <c r="N37"/>
      <c r="O37" s="439" t="s">
        <v>130</v>
      </c>
      <c r="P37" s="440"/>
      <c r="Q37" s="195">
        <f>O34</f>
        <v>0</v>
      </c>
      <c r="R37" s="18"/>
      <c r="S37" s="15"/>
      <c r="T37" s="17"/>
      <c r="U37" s="164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8"/>
    </row>
    <row r="38" spans="1:34" ht="18" customHeight="1" thickBot="1" x14ac:dyDescent="0.25">
      <c r="A38" s="17"/>
      <c r="B38" s="97" t="s">
        <v>122</v>
      </c>
      <c r="C38" s="98" t="s">
        <v>123</v>
      </c>
      <c r="D38" s="99" t="s">
        <v>119</v>
      </c>
      <c r="E38" s="100" t="s">
        <v>120</v>
      </c>
      <c r="F38" s="100" t="s">
        <v>121</v>
      </c>
      <c r="G38" s="101" t="s">
        <v>350</v>
      </c>
      <c r="H38" s="15"/>
      <c r="I38"/>
      <c r="J38"/>
      <c r="K38"/>
      <c r="L38"/>
      <c r="M38" s="115"/>
      <c r="N38"/>
      <c r="O38" s="441" t="s">
        <v>169</v>
      </c>
      <c r="P38" s="442"/>
      <c r="Q38" s="116">
        <f>D48</f>
        <v>0</v>
      </c>
      <c r="R38" s="18"/>
      <c r="S38" s="15"/>
      <c r="T38" s="17"/>
      <c r="U38" s="164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8"/>
    </row>
    <row r="39" spans="1:34" ht="18" customHeight="1" x14ac:dyDescent="0.2">
      <c r="A39" s="17"/>
      <c r="B39" s="196"/>
      <c r="C39" s="197"/>
      <c r="D39" s="194" t="str">
        <f>IF('Metric Form'!D44="","",IF('Metric Form'!D44&gt;0,'Metric Form'!D44))</f>
        <v/>
      </c>
      <c r="E39" s="178" t="str">
        <f>IF('Metric Form'!E44="","",'Metric Form'!E44-(53.975*2))</f>
        <v/>
      </c>
      <c r="F39" s="178" t="str">
        <f>IF('Metric Form'!F44="","",'Metric Form'!F44-(53.975*2))</f>
        <v/>
      </c>
      <c r="G39" s="212" t="s">
        <v>133</v>
      </c>
      <c r="H39" s="15"/>
      <c r="I39"/>
      <c r="J39"/>
      <c r="K39"/>
      <c r="L39"/>
      <c r="M39" s="139"/>
      <c r="N39"/>
      <c r="R39" s="18"/>
      <c r="S39" s="15"/>
      <c r="T39" s="17"/>
      <c r="U39" s="164"/>
      <c r="V39" s="167" t="e">
        <f>#REF!*#REF!/144</f>
        <v>#REF!</v>
      </c>
      <c r="W39" s="167" t="e">
        <f>IF(#REF!=0,0,IF(#REF!*#REF!/144&lt;1,1,#REF!*#REF!/144))</f>
        <v>#REF!</v>
      </c>
      <c r="X39" s="167" t="e">
        <f>$W39*#REF!</f>
        <v>#REF!</v>
      </c>
      <c r="Y39" s="168" t="e">
        <v>#REF!</v>
      </c>
      <c r="Z39" s="169" t="e">
        <v>#REF!</v>
      </c>
      <c r="AA39" s="169" t="e">
        <v>#REF!</v>
      </c>
      <c r="AB39" s="169" t="e">
        <v>#REF!</v>
      </c>
      <c r="AC39" s="169" t="e">
        <v>#REF!</v>
      </c>
      <c r="AD39" s="15"/>
      <c r="AE39" s="15"/>
      <c r="AF39" s="15"/>
      <c r="AG39" s="15"/>
      <c r="AH39" s="18"/>
    </row>
    <row r="40" spans="1:34" ht="18" customHeight="1" x14ac:dyDescent="0.2">
      <c r="A40" s="165"/>
      <c r="B40" s="198"/>
      <c r="C40" s="199"/>
      <c r="D40" s="74" t="str">
        <f>IF('Metric Form'!D45="","",IF('Metric Form'!D45&gt;0,'Metric Form'!D45))</f>
        <v/>
      </c>
      <c r="E40" s="183" t="str">
        <f>IF('Metric Form'!E45="","",'Metric Form'!E45-(53.975*2))</f>
        <v/>
      </c>
      <c r="F40" s="183" t="str">
        <f>IF('Metric Form'!F45="","",'Metric Form'!F45-(53.975*2))</f>
        <v/>
      </c>
      <c r="G40" s="213" t="s">
        <v>133</v>
      </c>
      <c r="H40" s="15"/>
      <c r="I40"/>
      <c r="J40"/>
      <c r="K40"/>
      <c r="L40"/>
      <c r="M40" s="139"/>
      <c r="N40"/>
      <c r="R40" s="18"/>
      <c r="S40" s="15"/>
      <c r="T40" s="17"/>
      <c r="V40" s="167" t="e">
        <f>#REF!*#REF!/144</f>
        <v>#REF!</v>
      </c>
      <c r="W40" s="167" t="e">
        <f>IF(#REF!=0,0,IF(#REF!*#REF!/144&lt;1,1,#REF!*#REF!/144))</f>
        <v>#REF!</v>
      </c>
      <c r="X40" s="167" t="e">
        <f>$W40*#REF!</f>
        <v>#REF!</v>
      </c>
      <c r="Y40" s="168" t="e">
        <v>#REF!</v>
      </c>
      <c r="AC40" s="193" t="e">
        <f>SUM(AC39:AC39)</f>
        <v>#REF!</v>
      </c>
      <c r="AH40" s="18"/>
    </row>
    <row r="41" spans="1:34" ht="18" customHeight="1" thickBot="1" x14ac:dyDescent="0.25">
      <c r="A41" s="17"/>
      <c r="B41" s="198"/>
      <c r="C41" s="199"/>
      <c r="D41" s="74" t="str">
        <f>IF('Metric Form'!D46="","",IF('Metric Form'!D46&gt;0,'Metric Form'!D46))</f>
        <v/>
      </c>
      <c r="E41" s="183" t="str">
        <f>IF('Metric Form'!E46="","",'Metric Form'!E46-(53.975*2))</f>
        <v/>
      </c>
      <c r="F41" s="183" t="str">
        <f>IF('Metric Form'!F46="","",'Metric Form'!F46-(53.975*2))</f>
        <v/>
      </c>
      <c r="G41" s="213" t="s">
        <v>133</v>
      </c>
      <c r="H41" s="15"/>
      <c r="I41"/>
      <c r="J41"/>
      <c r="K41"/>
      <c r="L41"/>
      <c r="M41" s="139"/>
      <c r="N41"/>
      <c r="O41" s="124" t="s">
        <v>138</v>
      </c>
      <c r="R41" s="18"/>
      <c r="S41" s="15"/>
      <c r="T41" s="17"/>
      <c r="V41" s="167" t="e">
        <f>#REF!*#REF!/144</f>
        <v>#REF!</v>
      </c>
      <c r="W41" s="167" t="e">
        <f>IF(#REF!=0,0,IF(#REF!*#REF!/144&lt;1,1,#REF!*#REF!/144))</f>
        <v>#REF!</v>
      </c>
      <c r="X41" s="167" t="e">
        <f>$W41*#REF!</f>
        <v>#REF!</v>
      </c>
      <c r="Y41" s="168" t="e">
        <v>#REF!</v>
      </c>
      <c r="Z41" s="169"/>
      <c r="AA41" s="169"/>
      <c r="AB41" s="169"/>
      <c r="AC41" s="169"/>
      <c r="AH41" s="18"/>
    </row>
    <row r="42" spans="1:34" ht="18" customHeight="1" thickBot="1" x14ac:dyDescent="0.25">
      <c r="A42" s="17"/>
      <c r="B42" s="200"/>
      <c r="C42" s="201"/>
      <c r="D42" s="74" t="str">
        <f>IF('Metric Form'!D47="","",IF('Metric Form'!D47&gt;0,'Metric Form'!D47))</f>
        <v/>
      </c>
      <c r="E42" s="183" t="str">
        <f>IF('Metric Form'!E47="","",'Metric Form'!E47-(53.975*2))</f>
        <v/>
      </c>
      <c r="F42" s="183" t="str">
        <f>IF('Metric Form'!F47="","",'Metric Form'!F47-(53.975*2))</f>
        <v/>
      </c>
      <c r="G42" s="214" t="s">
        <v>133</v>
      </c>
      <c r="H42" s="15"/>
      <c r="I42"/>
      <c r="J42"/>
      <c r="K42"/>
      <c r="L42"/>
      <c r="M42" s="139"/>
      <c r="N42"/>
      <c r="O42" s="410" t="s">
        <v>139</v>
      </c>
      <c r="P42" s="411"/>
      <c r="Q42" s="126">
        <f>SUM(Q36:Q38)</f>
        <v>0</v>
      </c>
      <c r="R42" s="18"/>
      <c r="S42" s="15"/>
      <c r="T42" s="17"/>
      <c r="V42" s="167"/>
      <c r="W42" s="167"/>
      <c r="X42" s="167"/>
      <c r="Y42" s="168"/>
      <c r="Z42" s="169"/>
      <c r="AA42" s="169"/>
      <c r="AB42" s="169"/>
      <c r="AC42" s="169"/>
      <c r="AH42" s="18"/>
    </row>
    <row r="43" spans="1:34" ht="18" customHeight="1" x14ac:dyDescent="0.15">
      <c r="A43" s="17"/>
      <c r="B43" s="341"/>
      <c r="C43" s="436"/>
      <c r="D43" s="437"/>
      <c r="E43" s="437"/>
      <c r="F43" s="436"/>
      <c r="G43" s="438"/>
      <c r="H43" s="15"/>
      <c r="I43"/>
      <c r="J43"/>
      <c r="K43"/>
      <c r="L43"/>
      <c r="M43" s="139"/>
      <c r="N43"/>
      <c r="O43"/>
      <c r="P43"/>
      <c r="Q43"/>
      <c r="R43" s="18"/>
      <c r="S43" s="15"/>
      <c r="T43" s="17"/>
      <c r="V43" s="167"/>
      <c r="W43" s="167"/>
      <c r="X43" s="167"/>
      <c r="Y43" s="168"/>
      <c r="Z43" s="169"/>
      <c r="AA43" s="169"/>
      <c r="AB43" s="169"/>
      <c r="AC43" s="169"/>
      <c r="AH43" s="18"/>
    </row>
    <row r="44" spans="1:34" ht="18" customHeight="1" x14ac:dyDescent="0.2">
      <c r="A44" s="17"/>
      <c r="B44" s="202"/>
      <c r="C44" s="203"/>
      <c r="D44" s="74" t="str">
        <f>IF('Metric Form'!D49="","",IF('Metric Form'!D49&gt;0,'Metric Form'!D49))</f>
        <v/>
      </c>
      <c r="E44" s="183" t="str">
        <f>IF('Metric Form'!E49="","",'Metric Form'!E49-(53.975*2))</f>
        <v/>
      </c>
      <c r="F44" s="183" t="str">
        <f>IF('Metric Form'!F49="","",'Metric Form'!F49-(53.975*2))</f>
        <v/>
      </c>
      <c r="G44" s="125">
        <f>Codes!E50</f>
        <v>0</v>
      </c>
      <c r="H44" s="15"/>
      <c r="I44"/>
      <c r="J44"/>
      <c r="K44"/>
      <c r="L44"/>
      <c r="M44" s="139"/>
      <c r="N44"/>
      <c r="O44"/>
      <c r="P44"/>
      <c r="Q44"/>
      <c r="R44" s="18"/>
      <c r="S44" s="15"/>
      <c r="T44" s="17"/>
      <c r="V44" s="167"/>
      <c r="W44" s="167"/>
      <c r="X44" s="167"/>
      <c r="Y44" s="168"/>
      <c r="Z44" s="169"/>
      <c r="AA44" s="169"/>
      <c r="AB44" s="169"/>
      <c r="AC44" s="169"/>
      <c r="AH44" s="18"/>
    </row>
    <row r="45" spans="1:34" ht="18" customHeight="1" x14ac:dyDescent="0.2">
      <c r="A45" s="17"/>
      <c r="B45" s="200"/>
      <c r="C45" s="201"/>
      <c r="D45" s="74" t="str">
        <f>IF('Metric Form'!D50="","",IF('Metric Form'!D50&gt;0,'Metric Form'!D50))</f>
        <v/>
      </c>
      <c r="E45" s="183" t="str">
        <f>IF('Metric Form'!E50="","",'Metric Form'!E50-(53.975*2))</f>
        <v/>
      </c>
      <c r="F45" s="183" t="str">
        <f>IF('Metric Form'!F50="","",'Metric Form'!F50-(53.975*2))</f>
        <v/>
      </c>
      <c r="G45" s="125">
        <f>Codes!E51</f>
        <v>0</v>
      </c>
      <c r="H45" s="15"/>
      <c r="I45"/>
      <c r="J45"/>
      <c r="K45"/>
      <c r="L45"/>
      <c r="M45" s="139"/>
      <c r="N45"/>
      <c r="O45"/>
      <c r="P45"/>
      <c r="Q45"/>
      <c r="R45" s="18"/>
      <c r="S45" s="15"/>
      <c r="T45" s="17"/>
      <c r="V45" s="167"/>
      <c r="W45" s="167"/>
      <c r="X45" s="167"/>
      <c r="Y45" s="168"/>
      <c r="Z45" s="169"/>
      <c r="AA45" s="169"/>
      <c r="AB45" s="169"/>
      <c r="AC45" s="169"/>
      <c r="AH45" s="18"/>
    </row>
    <row r="46" spans="1:34" ht="18" customHeight="1" x14ac:dyDescent="0.2">
      <c r="A46" s="17"/>
      <c r="B46" s="204"/>
      <c r="C46" s="205"/>
      <c r="D46" s="74" t="str">
        <f>IF('Metric Form'!D51="","",IF('Metric Form'!D51&gt;0,'Metric Form'!D51))</f>
        <v/>
      </c>
      <c r="E46" s="183" t="str">
        <f>IF('Metric Form'!E51="","",'Metric Form'!E51-(53.975*2))</f>
        <v/>
      </c>
      <c r="F46" s="183" t="str">
        <f>IF('Metric Form'!F51="","",'Metric Form'!F51-(53.975*2))</f>
        <v/>
      </c>
      <c r="G46" s="125">
        <f>Codes!E52</f>
        <v>0</v>
      </c>
      <c r="H46" s="15"/>
      <c r="I46"/>
      <c r="J46"/>
      <c r="K46"/>
      <c r="L46"/>
      <c r="M46" s="139"/>
      <c r="N46"/>
      <c r="O46"/>
      <c r="P46"/>
      <c r="Q46"/>
      <c r="R46" s="18"/>
      <c r="S46" s="15"/>
      <c r="T46" s="17"/>
      <c r="V46" s="167"/>
      <c r="W46" s="167"/>
      <c r="X46" s="167"/>
      <c r="Y46" s="168"/>
      <c r="Z46" s="169"/>
      <c r="AA46" s="169"/>
      <c r="AB46" s="169"/>
      <c r="AC46" s="169"/>
      <c r="AH46" s="18"/>
    </row>
    <row r="47" spans="1:34" ht="18" customHeight="1" thickBot="1" x14ac:dyDescent="0.25">
      <c r="A47" s="17"/>
      <c r="B47" s="206"/>
      <c r="C47" s="207"/>
      <c r="D47" s="85" t="str">
        <f>IF('Metric Form'!D52="","",IF('Metric Form'!D52&gt;0,'Metric Form'!D52))</f>
        <v/>
      </c>
      <c r="E47" s="188" t="str">
        <f>IF('Metric Form'!E52="","",'Metric Form'!E52-(53.975*2))</f>
        <v/>
      </c>
      <c r="F47" s="188" t="str">
        <f>IF('Metric Form'!F52="","",'Metric Form'!F52-(53.975*2))</f>
        <v/>
      </c>
      <c r="G47" s="138">
        <f>Codes!E53</f>
        <v>0</v>
      </c>
      <c r="H47" s="15"/>
      <c r="I47"/>
      <c r="J47"/>
      <c r="K47"/>
      <c r="L47"/>
      <c r="M47" s="15"/>
      <c r="N47"/>
      <c r="O47"/>
      <c r="P47"/>
      <c r="Q47"/>
      <c r="R47" s="18"/>
      <c r="S47" s="15"/>
      <c r="T47" s="17"/>
      <c r="U47" s="164"/>
      <c r="V47" s="167" t="e">
        <f>E40*F40/144</f>
        <v>#VALUE!</v>
      </c>
      <c r="W47" s="167" t="e">
        <f>IF(D40=0,0,IF(E40*F40/144&lt;1,1,E40*F40/144))</f>
        <v>#VALUE!</v>
      </c>
      <c r="X47" s="167" t="e">
        <f>$W47*$D40</f>
        <v>#VALUE!</v>
      </c>
      <c r="Y47" s="168">
        <v>0</v>
      </c>
      <c r="Z47" s="169">
        <v>0</v>
      </c>
      <c r="AA47" s="169">
        <v>0</v>
      </c>
      <c r="AB47" s="169">
        <v>0</v>
      </c>
      <c r="AC47" s="169">
        <v>0</v>
      </c>
      <c r="AD47" s="15"/>
      <c r="AE47" s="15"/>
      <c r="AF47" s="15"/>
      <c r="AG47" s="15"/>
      <c r="AH47" s="18"/>
    </row>
    <row r="48" spans="1:34" ht="18" customHeight="1" x14ac:dyDescent="0.15">
      <c r="A48" s="104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62" t="s">
        <v>65</v>
      </c>
      <c r="R48" s="145"/>
      <c r="S48" s="15"/>
    </row>
  </sheetData>
  <sheetProtection password="C41E" sheet="1" objects="1" scenarios="1"/>
  <mergeCells count="34">
    <mergeCell ref="B2:E2"/>
    <mergeCell ref="B3:E3"/>
    <mergeCell ref="B8:C8"/>
    <mergeCell ref="D8:F8"/>
    <mergeCell ref="P8:Q8"/>
    <mergeCell ref="B4:E4"/>
    <mergeCell ref="B5:E5"/>
    <mergeCell ref="B10:C10"/>
    <mergeCell ref="D10:F10"/>
    <mergeCell ref="L10:O10"/>
    <mergeCell ref="P10:Q10"/>
    <mergeCell ref="B12:C12"/>
    <mergeCell ref="D12:F12"/>
    <mergeCell ref="L12:M12"/>
    <mergeCell ref="N12:Q12"/>
    <mergeCell ref="B15:F15"/>
    <mergeCell ref="H15:L15"/>
    <mergeCell ref="O15:Q15"/>
    <mergeCell ref="B16:D16"/>
    <mergeCell ref="E16:F16"/>
    <mergeCell ref="H16:J16"/>
    <mergeCell ref="K16:L16"/>
    <mergeCell ref="O16:P16"/>
    <mergeCell ref="B17:C17"/>
    <mergeCell ref="H17:I17"/>
    <mergeCell ref="O35:Q35"/>
    <mergeCell ref="B36:G36"/>
    <mergeCell ref="O36:P36"/>
    <mergeCell ref="B43:G43"/>
    <mergeCell ref="B37:C37"/>
    <mergeCell ref="D37:G37"/>
    <mergeCell ref="O37:P37"/>
    <mergeCell ref="O38:P38"/>
    <mergeCell ref="O42:P42"/>
  </mergeCells>
  <phoneticPr fontId="0" type="noConversion"/>
  <printOptions horizontalCentered="1"/>
  <pageMargins left="0.39370078740157483" right="0.39370078740157483" top="1.1811023622047245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Codes</vt:lpstr>
      <vt:lpstr>Routing</vt:lpstr>
      <vt:lpstr>Metric Form</vt:lpstr>
      <vt:lpstr>Summary</vt:lpstr>
      <vt:lpstr>10900</vt:lpstr>
      <vt:lpstr>Shaker</vt:lpstr>
      <vt:lpstr>1300 SERIES</vt:lpstr>
      <vt:lpstr>Moulding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Order Form in Metric</dc:title>
  <dc:creator>Erica Hack</dc:creator>
  <dc:description>Revised Date - September 2006</dc:description>
  <cp:lastModifiedBy>Microsoft Office User</cp:lastModifiedBy>
  <cp:lastPrinted>2005-06-05T01:36:10Z</cp:lastPrinted>
  <dcterms:created xsi:type="dcterms:W3CDTF">2005-01-19T03:24:18Z</dcterms:created>
  <dcterms:modified xsi:type="dcterms:W3CDTF">2018-12-19T16:48:21Z</dcterms:modified>
</cp:coreProperties>
</file>