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7510"/>
  <workbookPr showInkAnnotation="0" codeName="ThisWorkbook" autoCompressPictures="0"/>
  <mc:AlternateContent xmlns:mc="http://schemas.openxmlformats.org/markup-compatibility/2006">
    <mc:Choice Requires="x15">
      <x15ac:absPath xmlns:x15ac="http://schemas.microsoft.com/office/spreadsheetml/2010/11/ac" url="/Users/RichardsDesk/Desktop/Nubold 2015 Order Forms/"/>
    </mc:Choice>
  </mc:AlternateContent>
  <workbookProtection workbookPassword="CA8A" lockStructure="1"/>
  <bookViews>
    <workbookView xWindow="6740" yWindow="640" windowWidth="16640" windowHeight="17200" tabRatio="757"/>
  </bookViews>
  <sheets>
    <sheet name="ORDER FORM" sheetId="17" r:id="rId1"/>
    <sheet name="Lists" sheetId="12" state="hidden" r:id="rId2"/>
    <sheet name="Validity" sheetId="16" state="hidden" r:id="rId3"/>
    <sheet name="Sizes" sheetId="19" state="hidden" r:id="rId4"/>
    <sheet name="Summary" sheetId="8" state="hidden" r:id="rId5"/>
    <sheet name="CNC Summary" sheetId="10" state="hidden" r:id="rId6"/>
    <sheet name="Cut Specs" sheetId="20" state="hidden" r:id="rId7"/>
    <sheet name="Cut List" sheetId="21" state="hidden" r:id="rId8"/>
    <sheet name="Labels" sheetId="11" state="hidden" r:id="rId9"/>
  </sheets>
  <definedNames>
    <definedName name="c.am">Lists!$AA$4</definedName>
    <definedName name="c.design.base">Lists!$J$5</definedName>
    <definedName name="c.design.upper">Lists!$J$4</definedName>
    <definedName name="c.df.opt">Lists!$AD$4</definedName>
    <definedName name="c.df.opt.c">Lists!$AE$4</definedName>
    <definedName name="c.df.std">Lists!$P$4</definedName>
    <definedName name="c.drill">Lists!$AP$4</definedName>
    <definedName name="c.edge">Lists!$X$4</definedName>
    <definedName name="c.finish">Lists!$BH$4</definedName>
    <definedName name="c.panel">Lists!$U$4</definedName>
    <definedName name="c.pp.opt">Lists!$AH$4</definedName>
    <definedName name="c.pp.opt.c">Lists!$AI$4</definedName>
    <definedName name="c.pp.std">Lists!$R$4</definedName>
    <definedName name="c.rail">Lists!$N$4</definedName>
    <definedName name="c.sanding">Lists!$AT$4</definedName>
    <definedName name="c.species">Lists!$F$4</definedName>
    <definedName name="c.species.gbls">Lists!$BE$4</definedName>
    <definedName name="c.species.mldg">Lists!$BC$4</definedName>
    <definedName name="c.species.plus">Lists!$G$4</definedName>
    <definedName name="c.species.shts">Lists!$BD$4</definedName>
    <definedName name="c.stile">Lists!$M$4</definedName>
    <definedName name="c.style">Lists!$C$4</definedName>
    <definedName name="cf">Sizes!$E$3</definedName>
    <definedName name="cfi">Sizes!$K$3</definedName>
    <definedName name="d.pl">'Cut Specs'!$I$39</definedName>
    <definedName name="d.pl5">'Cut Specs'!$L$39</definedName>
    <definedName name="d.pw">'Cut Specs'!$H$39</definedName>
    <definedName name="d.pw5">'Cut Specs'!$K$39</definedName>
    <definedName name="d.rl">'Cut Specs'!$E$39</definedName>
    <definedName name="d.sf">'Cut Specs'!$F$39</definedName>
    <definedName name="d.sl">'Cut Specs'!$D$39</definedName>
    <definedName name="l.am">Lists!$Z$5:$Z$9</definedName>
    <definedName name="l.am.na">Lists!$Z$10</definedName>
    <definedName name="l.design">Lists!$I$6:$I$11</definedName>
    <definedName name="l.design.mitre">Lists!$I$7</definedName>
    <definedName name="l.design.ps">Lists!$I$6:$I$11</definedName>
    <definedName name="l.design.shkr">Lists!$I$12</definedName>
    <definedName name="l.design.shkrV">Lists!$I$13</definedName>
    <definedName name="l.df.opt">Lists!$AC$6:$AC$11</definedName>
    <definedName name="l.drill">Lists!$AO$5:$AO$8</definedName>
    <definedName name="l.edge">Lists!$W$5:$W$18</definedName>
    <definedName name="l.edge.m">Lists!$W$20:$W$34</definedName>
    <definedName name="l.edge.na">Lists!$W$21</definedName>
    <definedName name="l.finish">Lists!$BG$5:$BG$12</definedName>
    <definedName name="l.full.rail">Lists!$A$15</definedName>
    <definedName name="l.lites.1">Lists!$AK$5:$AK$6</definedName>
    <definedName name="l.lites.8">Lists!$AK$5:$AK$9</definedName>
    <definedName name="l.lites.all">Lists!$AK$5:$AK$10</definedName>
    <definedName name="l.mdf5.opt">Lists!$AC$6:$AC$11</definedName>
    <definedName name="l.mdpp.opt">Lists!$AG$6:$AG$11</definedName>
    <definedName name="l.mouldings">Lists!$AY$5:$AY$12</definedName>
    <definedName name="l.mspecies">Lists!$BB$5:$BB$8</definedName>
    <definedName name="l.panel.p">Lists!$T$5:$T$6</definedName>
    <definedName name="l.panel.s">Lists!$T$9:$T$19</definedName>
    <definedName name="l.panel.shkr">Lists!$T$22:$T$27</definedName>
    <definedName name="l.pp.opt">Lists!$AG$6:$AG$11</definedName>
    <definedName name="l.reduced.rail">Lists!$A$14</definedName>
    <definedName name="l.sanding">Lists!$AS$6:$AS$7</definedName>
    <definedName name="l.species.all">Lists!$E$5:$E$16</definedName>
    <definedName name="l.species.mitred">Lists!$E$19:$E$26</definedName>
    <definedName name="l.stile.mitre.df">Lists!$AC$6:$AC$14</definedName>
    <definedName name="l.stile.mitred">Lists!$L$34:$L$44</definedName>
    <definedName name="l.stile.ps">Lists!$L$5:$L$15</definedName>
    <definedName name="l.stile.shkr">Lists!$L$18:$L$22</definedName>
    <definedName name="l.stile.shkrV">Lists!$L$25:$L$31</definedName>
    <definedName name="l.style">Lists!$B$5:$B$11</definedName>
    <definedName name="l.valance">Lists!$AV$4:$AV$7</definedName>
    <definedName name="_xlnm.Print_Area" localSheetId="5">'CNC Summary'!$C$1:$M$59</definedName>
    <definedName name="_xlnm.Print_Titles" localSheetId="7">'Cut List'!$1:$8</definedName>
    <definedName name="s.am">Lists!$Z$4</definedName>
    <definedName name="s.design.base">Lists!$I$5</definedName>
    <definedName name="s.design.upper">Lists!$I$4</definedName>
    <definedName name="s.df.opt">Lists!$AC$4</definedName>
    <definedName name="s.df.std">Lists!$O$4</definedName>
    <definedName name="s.drill">Lists!$AO$4</definedName>
    <definedName name="s.edge">Lists!$W$4</definedName>
    <definedName name="s.finish">Lists!$BG$4</definedName>
    <definedName name="s.panel">Lists!$T$4</definedName>
    <definedName name="s.pp.opt">Lists!$AG$4</definedName>
    <definedName name="s.pp.std">Lists!$Q$4</definedName>
    <definedName name="s.sanding">Lists!$AS$4</definedName>
    <definedName name="s.species">Lists!$E$4</definedName>
    <definedName name="s.stile">Lists!$L$4</definedName>
    <definedName name="s.stile.mitre.df5">Lists!$AC$4</definedName>
    <definedName name="s.stile.mitre.pp">Lists!#REF!</definedName>
    <definedName name="s.style">Lists!$B$4</definedName>
    <definedName name="style.list" localSheetId="0">Lists!$B$5:$B$11</definedName>
    <definedName name="t.am">Lists!$Z$5:$AA$9</definedName>
    <definedName name="t.design">Lists!$I$6:$J$13</definedName>
    <definedName name="t.df.opt">Lists!$AC$5:$AE$14</definedName>
    <definedName name="t.drill">Lists!$AO$5:$AP$8</definedName>
    <definedName name="t.edge">Lists!$W$5:$X$18</definedName>
    <definedName name="t.edge.all">Lists!$W$5:$X$34</definedName>
    <definedName name="t.edges">Lists!$W$5:$X$18</definedName>
    <definedName name="t.finish">Lists!$BG$5:$BH$12</definedName>
    <definedName name="t.lites">Lists!$AK$6:$AM$10</definedName>
    <definedName name="t.mouldings">Lists!$AY$6:$AZ$12</definedName>
    <definedName name="t.mspecies">Lists!$BB$5:$BC$8</definedName>
    <definedName name="t.pp.opt">Lists!$AG$5:$AI$16</definedName>
    <definedName name="t.sanding">Lists!$AS$5:$AT$7</definedName>
    <definedName name="t.species">Lists!$E$5:$G$16</definedName>
    <definedName name="t.stile.all">Lists!$L$5:$R$44</definedName>
    <definedName name="t.style">Lists!$B$5:$C$11</definedName>
    <definedName name="t.valance">Lists!$AV$4:$AW$7</definedName>
    <definedName name="v.finish.species">Validity!$B$70</definedName>
    <definedName name="v.panel.species">Validity!$B$49</definedName>
    <definedName name="v.sanding.species">Validity!$B$64</definedName>
    <definedName name="v.sr.am">Validity!$B$15</definedName>
    <definedName name="v.sr.design.base">Validity!$B$18</definedName>
    <definedName name="v.sr.design.upper">Validity!$B$17</definedName>
    <definedName name="v.sr.edge">Validity!$B$14</definedName>
    <definedName name="v.sr.panel">Validity!$B$13</definedName>
    <definedName name="v.sr.species">Validity!$B$12</definedName>
    <definedName name="v.stile.mitre.df5">Validity!$B$81</definedName>
    <definedName name="v.stile.mitre.pp">Validity!$B$82</definedName>
    <definedName name="v.style.design.base">Validity!$B$5</definedName>
    <definedName name="v.style.design.upper">Validity!$B$4</definedName>
    <definedName name="v.style.panel">Validity!$B$7</definedName>
    <definedName name="v.style.species">Validity!$B$3</definedName>
    <definedName name="v.style.sr">Validity!$B$6</definedName>
    <definedName name="vt.finish.species">Validity!$F$71:$P$77</definedName>
    <definedName name="vt.mdf5.rail">Validity!$F$82:$R$94</definedName>
    <definedName name="vt.mdpp.rail">Validity!$T$82:$AF$94</definedName>
    <definedName name="vt.panel.species">Validity!$F$49:$P$60</definedName>
    <definedName name="vt.sanding.species">Validity!$F$65:$P$66</definedName>
    <definedName name="vt.size.base">Sizes!$Z$8:$AA$22</definedName>
    <definedName name="vt.size.df">Sizes!$AD$8:$AE$17</definedName>
    <definedName name="vt.size.fm">Sizes!$T$27:$U$32</definedName>
    <definedName name="vt.size.pp">Sizes!$AD$22:$AE$31</definedName>
    <definedName name="vt.size.upper">Sizes!$T$8:$U$22</definedName>
    <definedName name="vt.sr.am">Validity!$AT$13:$AX$45</definedName>
    <definedName name="vt.sr.design">Validity!$BF$13:$BL$45</definedName>
    <definedName name="vt.sr.edge">Validity!$AE$13:$AR$45</definedName>
    <definedName name="vt.sr.lites">Validity!$AZ$13:$BD$45</definedName>
    <definedName name="vt.sr.panel">Validity!$R$13:$AC$45</definedName>
    <definedName name="vt.sr.species">Validity!$F$13:$P$45</definedName>
    <definedName name="vt.style.design">Validity!$R$4:$X$9</definedName>
    <definedName name="vt.style.panel">Validity!$BH$4:$BS$9</definedName>
    <definedName name="vt.style.sr">Validity!$Z$4:$BF$9</definedName>
    <definedName name="vt.syle.species">Validity!$F$4:$P$9</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K50" i="8" l="1"/>
  <c r="K51" i="8"/>
  <c r="K52" i="8"/>
  <c r="K53" i="8"/>
  <c r="K54" i="8"/>
  <c r="K55" i="8"/>
  <c r="C50" i="8"/>
  <c r="C51" i="8"/>
  <c r="C52" i="8"/>
  <c r="C53" i="8"/>
  <c r="J75" i="11"/>
  <c r="J74" i="11"/>
  <c r="J73" i="11"/>
  <c r="J72" i="11"/>
  <c r="J71" i="11"/>
  <c r="I75" i="11"/>
  <c r="I74" i="11"/>
  <c r="I73" i="11"/>
  <c r="I72" i="11"/>
  <c r="I71" i="11"/>
  <c r="I30" i="11"/>
  <c r="J70" i="11"/>
  <c r="I70" i="11"/>
  <c r="J69" i="11"/>
  <c r="I69" i="11"/>
  <c r="J68" i="11"/>
  <c r="I68" i="11"/>
  <c r="J67" i="11"/>
  <c r="I67" i="11"/>
  <c r="J66" i="11"/>
  <c r="I66" i="11"/>
  <c r="J65" i="11"/>
  <c r="I65" i="11"/>
  <c r="J64" i="11"/>
  <c r="I64" i="11"/>
  <c r="J63" i="11"/>
  <c r="I63" i="11"/>
  <c r="J62" i="11"/>
  <c r="I62" i="11"/>
  <c r="J61" i="11"/>
  <c r="I61" i="11"/>
  <c r="J60" i="11"/>
  <c r="I60" i="11"/>
  <c r="J59" i="11"/>
  <c r="I59" i="11"/>
  <c r="J58" i="11"/>
  <c r="I58" i="11"/>
  <c r="J57" i="11"/>
  <c r="I57" i="11"/>
  <c r="J56" i="11"/>
  <c r="I56" i="11"/>
  <c r="J55" i="11"/>
  <c r="I55" i="11"/>
  <c r="J54" i="11"/>
  <c r="I54" i="11"/>
  <c r="J53" i="11"/>
  <c r="I53" i="11"/>
  <c r="J52" i="11"/>
  <c r="I52" i="11"/>
  <c r="J51" i="11"/>
  <c r="I51" i="11"/>
  <c r="J50" i="11"/>
  <c r="I50" i="11"/>
  <c r="J49" i="11"/>
  <c r="I49" i="11"/>
  <c r="J48" i="11"/>
  <c r="I48" i="11"/>
  <c r="J47" i="11"/>
  <c r="I47" i="11"/>
  <c r="J46" i="11"/>
  <c r="I46" i="11"/>
  <c r="J45" i="11"/>
  <c r="I45" i="11"/>
  <c r="J44" i="11"/>
  <c r="I44" i="11"/>
  <c r="J43" i="11"/>
  <c r="I43" i="11"/>
  <c r="J42" i="11"/>
  <c r="I42" i="11"/>
  <c r="J41" i="11"/>
  <c r="I41" i="11"/>
  <c r="J40" i="11"/>
  <c r="I40" i="11"/>
  <c r="J39" i="11"/>
  <c r="I39" i="11"/>
  <c r="J38" i="11"/>
  <c r="I38" i="11"/>
  <c r="J37" i="11"/>
  <c r="I37" i="11"/>
  <c r="J36" i="11"/>
  <c r="I36" i="11"/>
  <c r="J35" i="11"/>
  <c r="I35" i="11"/>
  <c r="J34" i="11"/>
  <c r="I34" i="11"/>
  <c r="J33" i="11"/>
  <c r="I33" i="11"/>
  <c r="J32" i="11"/>
  <c r="I32" i="11"/>
  <c r="J31" i="11"/>
  <c r="I31" i="11"/>
  <c r="J30" i="11"/>
  <c r="J29" i="11"/>
  <c r="I29" i="11"/>
  <c r="J28" i="11"/>
  <c r="I28" i="11"/>
  <c r="J27" i="11"/>
  <c r="I27" i="11"/>
  <c r="J26" i="11"/>
  <c r="I26" i="11"/>
  <c r="J25" i="11"/>
  <c r="I25" i="11"/>
  <c r="J24" i="11"/>
  <c r="I24" i="11"/>
  <c r="J23" i="11"/>
  <c r="I23" i="11"/>
  <c r="J22" i="11"/>
  <c r="I22" i="11"/>
  <c r="J21" i="11"/>
  <c r="I21" i="11"/>
  <c r="J20" i="11"/>
  <c r="I20" i="11"/>
  <c r="J19" i="11"/>
  <c r="I19" i="11"/>
  <c r="J18" i="11"/>
  <c r="I18" i="11"/>
  <c r="J17" i="11"/>
  <c r="I17" i="11"/>
  <c r="J16" i="11"/>
  <c r="I16" i="11"/>
  <c r="J15" i="11"/>
  <c r="I15" i="11"/>
  <c r="J14" i="11"/>
  <c r="I14" i="11"/>
  <c r="J13" i="11"/>
  <c r="I13" i="11"/>
  <c r="J12" i="11"/>
  <c r="I12" i="11"/>
  <c r="J11" i="11"/>
  <c r="I11" i="11"/>
  <c r="J10" i="11"/>
  <c r="I10" i="11"/>
  <c r="J9" i="11"/>
  <c r="I9" i="11"/>
  <c r="J8" i="11"/>
  <c r="I8" i="11"/>
  <c r="J7" i="11"/>
  <c r="I7" i="11"/>
  <c r="J6" i="11"/>
  <c r="I6" i="11"/>
  <c r="J5" i="11"/>
  <c r="I5" i="11"/>
  <c r="J4" i="11"/>
  <c r="I4" i="11"/>
  <c r="J3" i="11"/>
  <c r="I3" i="11"/>
  <c r="J2" i="11"/>
  <c r="I2" i="11"/>
  <c r="M45" i="19"/>
  <c r="P73" i="21"/>
  <c r="Q73" i="21"/>
  <c r="Z67" i="11"/>
  <c r="M44" i="19"/>
  <c r="P72" i="21"/>
  <c r="Q72" i="21"/>
  <c r="Z66" i="11"/>
  <c r="M43" i="19"/>
  <c r="P71" i="21"/>
  <c r="Q71" i="21"/>
  <c r="Z65" i="11"/>
  <c r="M42" i="19"/>
  <c r="P70" i="21"/>
  <c r="Q70" i="21"/>
  <c r="Z64" i="11"/>
  <c r="M41" i="19"/>
  <c r="P69" i="21"/>
  <c r="Q69" i="21"/>
  <c r="Z63" i="11"/>
  <c r="M40" i="19"/>
  <c r="P68" i="21"/>
  <c r="Q68" i="21"/>
  <c r="Z62" i="11"/>
  <c r="M39" i="19"/>
  <c r="P67" i="21"/>
  <c r="Q67" i="21"/>
  <c r="Z61" i="11"/>
  <c r="M38" i="19"/>
  <c r="P66" i="21"/>
  <c r="Q66" i="21"/>
  <c r="Z60" i="11"/>
  <c r="M37" i="19"/>
  <c r="P65" i="21"/>
  <c r="Q65" i="21"/>
  <c r="Z59" i="11"/>
  <c r="M36" i="19"/>
  <c r="P64" i="21"/>
  <c r="Q64" i="21"/>
  <c r="Z58" i="11"/>
  <c r="M31" i="19"/>
  <c r="P62" i="21"/>
  <c r="Q62" i="21"/>
  <c r="Z51" i="11"/>
  <c r="M30" i="19"/>
  <c r="P61" i="21"/>
  <c r="Q61" i="21"/>
  <c r="Z50" i="11"/>
  <c r="M29" i="19"/>
  <c r="P60" i="21"/>
  <c r="Q60" i="21"/>
  <c r="Z49" i="11"/>
  <c r="M28" i="19"/>
  <c r="P59" i="21"/>
  <c r="Q59" i="21"/>
  <c r="Z48" i="11"/>
  <c r="M27" i="19"/>
  <c r="P58" i="21"/>
  <c r="Q58" i="21"/>
  <c r="Z47" i="11"/>
  <c r="M26" i="19"/>
  <c r="P57" i="21"/>
  <c r="Q57" i="21"/>
  <c r="Z46" i="11"/>
  <c r="M25" i="19"/>
  <c r="P56" i="21"/>
  <c r="Q56" i="21"/>
  <c r="Z45" i="11"/>
  <c r="M24" i="19"/>
  <c r="P55" i="21"/>
  <c r="Q55" i="21"/>
  <c r="Z44" i="11"/>
  <c r="M23" i="19"/>
  <c r="P54" i="21"/>
  <c r="Q54" i="21"/>
  <c r="Z43" i="11"/>
  <c r="M22" i="19"/>
  <c r="P53" i="21"/>
  <c r="Q53" i="21"/>
  <c r="Z42" i="11"/>
  <c r="M17" i="19"/>
  <c r="P51" i="21"/>
  <c r="Q51" i="21"/>
  <c r="Z41" i="11"/>
  <c r="M16" i="19"/>
  <c r="P50" i="21"/>
  <c r="Q50" i="21"/>
  <c r="Z40" i="11"/>
  <c r="M15" i="19"/>
  <c r="P49" i="21"/>
  <c r="Q49" i="21"/>
  <c r="Z39" i="11"/>
  <c r="M14" i="19"/>
  <c r="P48" i="21"/>
  <c r="Q48" i="21"/>
  <c r="Z38" i="11"/>
  <c r="M13" i="19"/>
  <c r="P47" i="21"/>
  <c r="Q47" i="21"/>
  <c r="Z37" i="11"/>
  <c r="M12" i="19"/>
  <c r="P46" i="21"/>
  <c r="Q46" i="21"/>
  <c r="Z36" i="11"/>
  <c r="M11" i="19"/>
  <c r="P45" i="21"/>
  <c r="Q45" i="21"/>
  <c r="Z35" i="11"/>
  <c r="M10" i="19"/>
  <c r="P44" i="21"/>
  <c r="Q44" i="21"/>
  <c r="Z34" i="11"/>
  <c r="M9" i="19"/>
  <c r="P43" i="21"/>
  <c r="Q43" i="21"/>
  <c r="Z33" i="11"/>
  <c r="M8" i="19"/>
  <c r="P42" i="21"/>
  <c r="Q42" i="21"/>
  <c r="Z32" i="11"/>
  <c r="I22" i="19"/>
  <c r="P40" i="21"/>
  <c r="Q40" i="21"/>
  <c r="Z31" i="11"/>
  <c r="I21" i="19"/>
  <c r="P39" i="21"/>
  <c r="Q39" i="21"/>
  <c r="Z30" i="11"/>
  <c r="I20" i="19"/>
  <c r="P38" i="21"/>
  <c r="Q38" i="21"/>
  <c r="Z29" i="11"/>
  <c r="I19" i="19"/>
  <c r="P37" i="21"/>
  <c r="Q37" i="21"/>
  <c r="Z28" i="11"/>
  <c r="I18" i="19"/>
  <c r="P36" i="21"/>
  <c r="Q36" i="21"/>
  <c r="Z27" i="11"/>
  <c r="I17" i="19"/>
  <c r="P35" i="21"/>
  <c r="Q35" i="21"/>
  <c r="Z26" i="11"/>
  <c r="I16" i="19"/>
  <c r="P34" i="21"/>
  <c r="Q34" i="21"/>
  <c r="Z25" i="11"/>
  <c r="I15" i="19"/>
  <c r="P33" i="21"/>
  <c r="Q33" i="21"/>
  <c r="Z24" i="11"/>
  <c r="I14" i="19"/>
  <c r="P32" i="21"/>
  <c r="Q32" i="21"/>
  <c r="Z23" i="11"/>
  <c r="I13" i="19"/>
  <c r="P31" i="21"/>
  <c r="Q31" i="21"/>
  <c r="Z22" i="11"/>
  <c r="I12" i="19"/>
  <c r="P30" i="21"/>
  <c r="Q30" i="21"/>
  <c r="Z21" i="11"/>
  <c r="I11" i="19"/>
  <c r="P29" i="21"/>
  <c r="Q29" i="21"/>
  <c r="Z20" i="11"/>
  <c r="I10" i="19"/>
  <c r="P28" i="21"/>
  <c r="Q28" i="21"/>
  <c r="Z19" i="11"/>
  <c r="I9" i="19"/>
  <c r="P27" i="21"/>
  <c r="Q27" i="21"/>
  <c r="Z18" i="11"/>
  <c r="I8" i="19"/>
  <c r="P26" i="21"/>
  <c r="Q26" i="21"/>
  <c r="Z17" i="11"/>
  <c r="C22" i="19"/>
  <c r="D24" i="21"/>
  <c r="Q24" i="21"/>
  <c r="Z16" i="11"/>
  <c r="C21" i="19"/>
  <c r="D23" i="21"/>
  <c r="Q23" i="21"/>
  <c r="Z15" i="11"/>
  <c r="C20" i="19"/>
  <c r="D22" i="21"/>
  <c r="Q22" i="21"/>
  <c r="Z14" i="11"/>
  <c r="C19" i="19"/>
  <c r="D21" i="21"/>
  <c r="Q21" i="21"/>
  <c r="Z13" i="11"/>
  <c r="C18" i="19"/>
  <c r="D20" i="21"/>
  <c r="Q20" i="21"/>
  <c r="Z12" i="11"/>
  <c r="C17" i="19"/>
  <c r="D19" i="21"/>
  <c r="Q19" i="21"/>
  <c r="Z11" i="11"/>
  <c r="C16" i="19"/>
  <c r="D18" i="21"/>
  <c r="Q18" i="21"/>
  <c r="Z10" i="11"/>
  <c r="C15" i="19"/>
  <c r="D17" i="21"/>
  <c r="Q17" i="21"/>
  <c r="Z9" i="11"/>
  <c r="C14" i="19"/>
  <c r="D16" i="21"/>
  <c r="Q16" i="21"/>
  <c r="Z8" i="11"/>
  <c r="C13" i="19"/>
  <c r="D15" i="21"/>
  <c r="Q15" i="21"/>
  <c r="Z7" i="11"/>
  <c r="C12" i="19"/>
  <c r="D14" i="21"/>
  <c r="Q14" i="21"/>
  <c r="Z6" i="11"/>
  <c r="C11" i="19"/>
  <c r="D13" i="21"/>
  <c r="Q13" i="21"/>
  <c r="Z5" i="11"/>
  <c r="C10" i="19"/>
  <c r="D12" i="21"/>
  <c r="Q12" i="21"/>
  <c r="Z4" i="11"/>
  <c r="C9" i="19"/>
  <c r="D11" i="21"/>
  <c r="Q11" i="21"/>
  <c r="Z3" i="11"/>
  <c r="C8" i="19"/>
  <c r="D10" i="21"/>
  <c r="Q10" i="21"/>
  <c r="Z2" i="11"/>
  <c r="U57" i="11"/>
  <c r="U56" i="11"/>
  <c r="U55" i="11"/>
  <c r="U54" i="11"/>
  <c r="U53" i="11"/>
  <c r="U52" i="11"/>
  <c r="N57" i="11"/>
  <c r="N56" i="11"/>
  <c r="N55" i="11"/>
  <c r="N54" i="11"/>
  <c r="N53" i="11"/>
  <c r="N52" i="11"/>
  <c r="N16" i="11"/>
  <c r="N15" i="11"/>
  <c r="N14" i="11"/>
  <c r="N13" i="11"/>
  <c r="N12" i="11"/>
  <c r="N11" i="11"/>
  <c r="N10" i="11"/>
  <c r="N9" i="11"/>
  <c r="N8" i="11"/>
  <c r="N7" i="11"/>
  <c r="N6" i="11"/>
  <c r="N5" i="11"/>
  <c r="N4" i="11"/>
  <c r="N3" i="11"/>
  <c r="N2" i="11"/>
  <c r="R73" i="21"/>
  <c r="AA67" i="11"/>
  <c r="R72" i="21"/>
  <c r="AA66" i="11"/>
  <c r="R71" i="21"/>
  <c r="AA65" i="11"/>
  <c r="R70" i="21"/>
  <c r="AA64" i="11"/>
  <c r="R69" i="21"/>
  <c r="AA63" i="11"/>
  <c r="R68" i="21"/>
  <c r="AA62" i="11"/>
  <c r="R67" i="21"/>
  <c r="AA61" i="11"/>
  <c r="R66" i="21"/>
  <c r="AA60" i="11"/>
  <c r="R65" i="21"/>
  <c r="AA59" i="11"/>
  <c r="R64" i="21"/>
  <c r="AA58" i="11"/>
  <c r="R62" i="21"/>
  <c r="AA51" i="11"/>
  <c r="R61" i="21"/>
  <c r="AA50" i="11"/>
  <c r="R60" i="21"/>
  <c r="AA49" i="11"/>
  <c r="R59" i="21"/>
  <c r="AA48" i="11"/>
  <c r="R58" i="21"/>
  <c r="AA47" i="11"/>
  <c r="R57" i="21"/>
  <c r="AA46" i="11"/>
  <c r="R56" i="21"/>
  <c r="AA45" i="11"/>
  <c r="R55" i="21"/>
  <c r="AA44" i="11"/>
  <c r="R54" i="21"/>
  <c r="AA43" i="11"/>
  <c r="R53" i="21"/>
  <c r="AA42" i="11"/>
  <c r="R51" i="21"/>
  <c r="AA41" i="11"/>
  <c r="R50" i="21"/>
  <c r="AA40" i="11"/>
  <c r="R49" i="21"/>
  <c r="AA39" i="11"/>
  <c r="R48" i="21"/>
  <c r="AA38" i="11"/>
  <c r="R47" i="21"/>
  <c r="AA37" i="11"/>
  <c r="R46" i="21"/>
  <c r="AA36" i="11"/>
  <c r="R45" i="21"/>
  <c r="AA35" i="11"/>
  <c r="R44" i="21"/>
  <c r="AA34" i="11"/>
  <c r="R43" i="21"/>
  <c r="AA33" i="11"/>
  <c r="R42" i="21"/>
  <c r="AA32" i="11"/>
  <c r="R40" i="21"/>
  <c r="AA31" i="11"/>
  <c r="R39" i="21"/>
  <c r="AA30" i="11"/>
  <c r="R38" i="21"/>
  <c r="AA29" i="11"/>
  <c r="R37" i="21"/>
  <c r="AA28" i="11"/>
  <c r="R36" i="21"/>
  <c r="AA27" i="11"/>
  <c r="R35" i="21"/>
  <c r="AA26" i="11"/>
  <c r="R34" i="21"/>
  <c r="AA25" i="11"/>
  <c r="R33" i="21"/>
  <c r="AA24" i="11"/>
  <c r="R32" i="21"/>
  <c r="AA23" i="11"/>
  <c r="R31" i="21"/>
  <c r="AA22" i="11"/>
  <c r="R30" i="21"/>
  <c r="AA21" i="11"/>
  <c r="R29" i="21"/>
  <c r="AA20" i="11"/>
  <c r="R28" i="21"/>
  <c r="AA19" i="11"/>
  <c r="R27" i="21"/>
  <c r="AA18" i="11"/>
  <c r="R26" i="21"/>
  <c r="AA17" i="11"/>
  <c r="R24" i="21"/>
  <c r="AA16" i="11"/>
  <c r="R23" i="21"/>
  <c r="AA15" i="11"/>
  <c r="R22" i="21"/>
  <c r="AA14" i="11"/>
  <c r="R21" i="21"/>
  <c r="AA13" i="11"/>
  <c r="R20" i="21"/>
  <c r="AA12" i="11"/>
  <c r="R19" i="21"/>
  <c r="AA11" i="11"/>
  <c r="R18" i="21"/>
  <c r="AA10" i="11"/>
  <c r="R17" i="21"/>
  <c r="AA9" i="11"/>
  <c r="R16" i="21"/>
  <c r="AA8" i="11"/>
  <c r="R15" i="21"/>
  <c r="AA7" i="11"/>
  <c r="R14" i="21"/>
  <c r="AA6" i="11"/>
  <c r="R13" i="21"/>
  <c r="AA5" i="11"/>
  <c r="R12" i="21"/>
  <c r="AA4" i="11"/>
  <c r="R11" i="21"/>
  <c r="AA3" i="11"/>
  <c r="R10" i="21"/>
  <c r="AA2" i="11"/>
  <c r="O31" i="11"/>
  <c r="O30" i="11"/>
  <c r="O29" i="11"/>
  <c r="O28" i="11"/>
  <c r="O27" i="11"/>
  <c r="O26" i="11"/>
  <c r="O25" i="11"/>
  <c r="O24" i="11"/>
  <c r="O23" i="11"/>
  <c r="O22" i="11"/>
  <c r="O21" i="11"/>
  <c r="O20" i="11"/>
  <c r="O19" i="11"/>
  <c r="O18" i="11"/>
  <c r="O17" i="11"/>
  <c r="D73" i="21"/>
  <c r="E73" i="21"/>
  <c r="Y67" i="11"/>
  <c r="D72" i="21"/>
  <c r="E72" i="21"/>
  <c r="Y66" i="11"/>
  <c r="D71" i="21"/>
  <c r="E71" i="21"/>
  <c r="Y65" i="11"/>
  <c r="D70" i="21"/>
  <c r="E70" i="21"/>
  <c r="Y64" i="11"/>
  <c r="D69" i="21"/>
  <c r="E69" i="21"/>
  <c r="Y63" i="11"/>
  <c r="D68" i="21"/>
  <c r="E68" i="21"/>
  <c r="Y62" i="11"/>
  <c r="D67" i="21"/>
  <c r="E67" i="21"/>
  <c r="Y61" i="11"/>
  <c r="D66" i="21"/>
  <c r="E66" i="21"/>
  <c r="Y60" i="11"/>
  <c r="D65" i="21"/>
  <c r="E65" i="21"/>
  <c r="Y59" i="11"/>
  <c r="D64" i="21"/>
  <c r="E64" i="21"/>
  <c r="Y58" i="11"/>
  <c r="C32" i="19"/>
  <c r="D80" i="21"/>
  <c r="E80" i="21"/>
  <c r="Y57" i="11"/>
  <c r="C31" i="19"/>
  <c r="D79" i="21"/>
  <c r="E79" i="21"/>
  <c r="Y56" i="11"/>
  <c r="C30" i="19"/>
  <c r="D78" i="21"/>
  <c r="E78" i="21"/>
  <c r="Y55" i="11"/>
  <c r="C29" i="19"/>
  <c r="D77" i="21"/>
  <c r="E77" i="21"/>
  <c r="Y54" i="11"/>
  <c r="C28" i="19"/>
  <c r="D76" i="21"/>
  <c r="E76" i="21"/>
  <c r="Y53" i="11"/>
  <c r="C27" i="19"/>
  <c r="D75" i="21"/>
  <c r="E75" i="21"/>
  <c r="Y52" i="11"/>
  <c r="D51" i="21"/>
  <c r="E51" i="21"/>
  <c r="Y41" i="11"/>
  <c r="D50" i="21"/>
  <c r="E50" i="21"/>
  <c r="Y40" i="11"/>
  <c r="D49" i="21"/>
  <c r="E49" i="21"/>
  <c r="Y39" i="11"/>
  <c r="D48" i="21"/>
  <c r="E48" i="21"/>
  <c r="Y38" i="11"/>
  <c r="D47" i="21"/>
  <c r="E47" i="21"/>
  <c r="Y37" i="11"/>
  <c r="D46" i="21"/>
  <c r="E46" i="21"/>
  <c r="Y36" i="11"/>
  <c r="D45" i="21"/>
  <c r="E45" i="21"/>
  <c r="Y35" i="11"/>
  <c r="D44" i="21"/>
  <c r="E44" i="21"/>
  <c r="Y34" i="11"/>
  <c r="D43" i="21"/>
  <c r="E43" i="21"/>
  <c r="Y33" i="11"/>
  <c r="D42" i="21"/>
  <c r="E42" i="21"/>
  <c r="Y32" i="11"/>
  <c r="D40" i="21"/>
  <c r="E40" i="21"/>
  <c r="Y31" i="11"/>
  <c r="D39" i="21"/>
  <c r="E39" i="21"/>
  <c r="Y30" i="11"/>
  <c r="D38" i="21"/>
  <c r="E38" i="21"/>
  <c r="Y29" i="11"/>
  <c r="D37" i="21"/>
  <c r="E37" i="21"/>
  <c r="Y28" i="11"/>
  <c r="D36" i="21"/>
  <c r="E36" i="21"/>
  <c r="Y27" i="11"/>
  <c r="D35" i="21"/>
  <c r="E35" i="21"/>
  <c r="Y26" i="11"/>
  <c r="D34" i="21"/>
  <c r="E34" i="21"/>
  <c r="Y25" i="11"/>
  <c r="D33" i="21"/>
  <c r="E33" i="21"/>
  <c r="Y24" i="11"/>
  <c r="D32" i="21"/>
  <c r="E32" i="21"/>
  <c r="Y23" i="11"/>
  <c r="D31" i="21"/>
  <c r="E31" i="21"/>
  <c r="Y22" i="11"/>
  <c r="D30" i="21"/>
  <c r="E30" i="21"/>
  <c r="Y21" i="11"/>
  <c r="D29" i="21"/>
  <c r="E29" i="21"/>
  <c r="Y20" i="11"/>
  <c r="D28" i="21"/>
  <c r="E28" i="21"/>
  <c r="Y19" i="11"/>
  <c r="D27" i="21"/>
  <c r="E27" i="21"/>
  <c r="Y18" i="11"/>
  <c r="D26" i="21"/>
  <c r="E26" i="21"/>
  <c r="Y17" i="11"/>
  <c r="E24" i="21"/>
  <c r="Y16" i="11"/>
  <c r="E23" i="21"/>
  <c r="Y15" i="11"/>
  <c r="E22" i="21"/>
  <c r="Y14" i="11"/>
  <c r="E21" i="21"/>
  <c r="Y13" i="11"/>
  <c r="E20" i="21"/>
  <c r="Y12" i="11"/>
  <c r="E19" i="21"/>
  <c r="Y11" i="11"/>
  <c r="E18" i="21"/>
  <c r="Y10" i="11"/>
  <c r="E17" i="21"/>
  <c r="Y9" i="11"/>
  <c r="E16" i="21"/>
  <c r="Y8" i="11"/>
  <c r="E15" i="21"/>
  <c r="Y7" i="11"/>
  <c r="E14" i="21"/>
  <c r="Y6" i="11"/>
  <c r="E13" i="21"/>
  <c r="Y5" i="11"/>
  <c r="E12" i="21"/>
  <c r="Y4" i="11"/>
  <c r="E11" i="21"/>
  <c r="Y3" i="11"/>
  <c r="E10" i="21"/>
  <c r="Y2" i="11"/>
  <c r="G75" i="11"/>
  <c r="G74" i="11"/>
  <c r="G73" i="11"/>
  <c r="G72" i="11"/>
  <c r="G71" i="11"/>
  <c r="G70" i="11"/>
  <c r="G69" i="11"/>
  <c r="G68" i="11"/>
  <c r="D75" i="11"/>
  <c r="A75" i="11"/>
  <c r="D74" i="11"/>
  <c r="A74" i="11"/>
  <c r="D73" i="11"/>
  <c r="A73" i="11"/>
  <c r="D72" i="11"/>
  <c r="A72" i="11"/>
  <c r="D71" i="11"/>
  <c r="A71" i="11"/>
  <c r="D70" i="11"/>
  <c r="A70" i="11"/>
  <c r="D69" i="11"/>
  <c r="A69" i="11"/>
  <c r="D68" i="11"/>
  <c r="A68" i="11"/>
  <c r="H73" i="21"/>
  <c r="X67" i="11"/>
  <c r="H72" i="21"/>
  <c r="X66" i="11"/>
  <c r="H71" i="21"/>
  <c r="X65" i="11"/>
  <c r="H70" i="21"/>
  <c r="X64" i="11"/>
  <c r="H69" i="21"/>
  <c r="X63" i="11"/>
  <c r="H68" i="21"/>
  <c r="X62" i="11"/>
  <c r="H67" i="21"/>
  <c r="X61" i="11"/>
  <c r="H66" i="21"/>
  <c r="X60" i="11"/>
  <c r="H65" i="21"/>
  <c r="X59" i="11"/>
  <c r="H64" i="21"/>
  <c r="X58" i="11"/>
  <c r="H80" i="21"/>
  <c r="X57" i="11"/>
  <c r="H79" i="21"/>
  <c r="X56" i="11"/>
  <c r="H78" i="21"/>
  <c r="X55" i="11"/>
  <c r="H77" i="21"/>
  <c r="X54" i="11"/>
  <c r="H76" i="21"/>
  <c r="X53" i="11"/>
  <c r="H75" i="21"/>
  <c r="X52" i="11"/>
  <c r="H51" i="21"/>
  <c r="X41" i="11"/>
  <c r="H50" i="21"/>
  <c r="X40" i="11"/>
  <c r="H49" i="21"/>
  <c r="X39" i="11"/>
  <c r="H48" i="21"/>
  <c r="X38" i="11"/>
  <c r="H47" i="21"/>
  <c r="X37" i="11"/>
  <c r="H46" i="21"/>
  <c r="X36" i="11"/>
  <c r="H45" i="21"/>
  <c r="X35" i="11"/>
  <c r="H44" i="21"/>
  <c r="X34" i="11"/>
  <c r="H43" i="21"/>
  <c r="X33" i="11"/>
  <c r="H42" i="21"/>
  <c r="X32" i="11"/>
  <c r="H40" i="21"/>
  <c r="X31" i="11"/>
  <c r="N31" i="11"/>
  <c r="H39" i="21"/>
  <c r="X30" i="11"/>
  <c r="N30" i="11"/>
  <c r="H38" i="21"/>
  <c r="X29" i="11"/>
  <c r="N29" i="11"/>
  <c r="H37" i="21"/>
  <c r="X28" i="11"/>
  <c r="N28" i="11"/>
  <c r="H36" i="21"/>
  <c r="X27" i="11"/>
  <c r="N27" i="11"/>
  <c r="H35" i="21"/>
  <c r="X26" i="11"/>
  <c r="N26" i="11"/>
  <c r="H34" i="21"/>
  <c r="X25" i="11"/>
  <c r="N25" i="11"/>
  <c r="H33" i="21"/>
  <c r="X24" i="11"/>
  <c r="N24" i="11"/>
  <c r="H32" i="21"/>
  <c r="X23" i="11"/>
  <c r="N23" i="11"/>
  <c r="H31" i="21"/>
  <c r="X22" i="11"/>
  <c r="N22" i="11"/>
  <c r="H30" i="21"/>
  <c r="X21" i="11"/>
  <c r="N21" i="11"/>
  <c r="H29" i="21"/>
  <c r="X20" i="11"/>
  <c r="N20" i="11"/>
  <c r="H28" i="21"/>
  <c r="X19" i="11"/>
  <c r="N19" i="11"/>
  <c r="H27" i="21"/>
  <c r="X18" i="11"/>
  <c r="N18" i="11"/>
  <c r="H26" i="21"/>
  <c r="X17" i="11"/>
  <c r="N17" i="11"/>
  <c r="H24" i="21"/>
  <c r="X16" i="11"/>
  <c r="H23" i="21"/>
  <c r="X15" i="11"/>
  <c r="H22" i="21"/>
  <c r="X14" i="11"/>
  <c r="H21" i="21"/>
  <c r="X13" i="11"/>
  <c r="H20" i="21"/>
  <c r="X12" i="11"/>
  <c r="H19" i="21"/>
  <c r="X11" i="11"/>
  <c r="H18" i="21"/>
  <c r="X10" i="11"/>
  <c r="H17" i="21"/>
  <c r="X9" i="11"/>
  <c r="H16" i="21"/>
  <c r="X8" i="11"/>
  <c r="H15" i="21"/>
  <c r="X7" i="11"/>
  <c r="H14" i="21"/>
  <c r="X6" i="11"/>
  <c r="H13" i="21"/>
  <c r="X5" i="11"/>
  <c r="H12" i="21"/>
  <c r="X4" i="11"/>
  <c r="H11" i="21"/>
  <c r="X3" i="11"/>
  <c r="H10" i="21"/>
  <c r="X2" i="11"/>
  <c r="D67" i="11"/>
  <c r="A67" i="11"/>
  <c r="D66" i="11"/>
  <c r="A66" i="11"/>
  <c r="D65" i="11"/>
  <c r="A65" i="11"/>
  <c r="D64" i="11"/>
  <c r="A64" i="11"/>
  <c r="D63" i="11"/>
  <c r="A63" i="11"/>
  <c r="D62" i="11"/>
  <c r="A62" i="11"/>
  <c r="D61" i="11"/>
  <c r="A61" i="11"/>
  <c r="D60" i="11"/>
  <c r="A60" i="11"/>
  <c r="D59" i="11"/>
  <c r="A59" i="11"/>
  <c r="D58" i="11"/>
  <c r="A58" i="11"/>
  <c r="D51" i="11"/>
  <c r="A51" i="11"/>
  <c r="D50" i="11"/>
  <c r="A50" i="11"/>
  <c r="D49" i="11"/>
  <c r="A49" i="11"/>
  <c r="D48" i="11"/>
  <c r="A48" i="11"/>
  <c r="D47" i="11"/>
  <c r="A47" i="11"/>
  <c r="D46" i="11"/>
  <c r="A46" i="11"/>
  <c r="D45" i="11"/>
  <c r="A45" i="11"/>
  <c r="D44" i="11"/>
  <c r="A44" i="11"/>
  <c r="D43" i="11"/>
  <c r="A43" i="11"/>
  <c r="D42" i="11"/>
  <c r="A42" i="11"/>
  <c r="D41" i="11"/>
  <c r="A41" i="11"/>
  <c r="D40" i="11"/>
  <c r="A40" i="11"/>
  <c r="D39" i="11"/>
  <c r="A39" i="11"/>
  <c r="D38" i="11"/>
  <c r="A38" i="11"/>
  <c r="D37" i="11"/>
  <c r="A37" i="11"/>
  <c r="D36" i="11"/>
  <c r="A36" i="11"/>
  <c r="D35" i="11"/>
  <c r="A35" i="11"/>
  <c r="D34" i="11"/>
  <c r="A34" i="11"/>
  <c r="D33" i="11"/>
  <c r="A33" i="11"/>
  <c r="D32" i="11"/>
  <c r="A32" i="11"/>
  <c r="D31" i="11"/>
  <c r="A31" i="11"/>
  <c r="D30" i="11"/>
  <c r="A30" i="11"/>
  <c r="D29" i="11"/>
  <c r="A29" i="11"/>
  <c r="D28" i="11"/>
  <c r="A28" i="11"/>
  <c r="D27" i="11"/>
  <c r="A27" i="11"/>
  <c r="D26" i="11"/>
  <c r="A26" i="11"/>
  <c r="D25" i="11"/>
  <c r="A25" i="11"/>
  <c r="D24" i="11"/>
  <c r="A24" i="11"/>
  <c r="D23" i="11"/>
  <c r="A23" i="11"/>
  <c r="D22" i="11"/>
  <c r="A22" i="11"/>
  <c r="D21" i="11"/>
  <c r="A21" i="11"/>
  <c r="D20" i="11"/>
  <c r="A20" i="11"/>
  <c r="D19" i="11"/>
  <c r="A19" i="11"/>
  <c r="D18" i="11"/>
  <c r="A18" i="11"/>
  <c r="D17" i="11"/>
  <c r="A17" i="11"/>
  <c r="D57" i="11"/>
  <c r="A57" i="11"/>
  <c r="D56" i="11"/>
  <c r="A56" i="11"/>
  <c r="D55" i="11"/>
  <c r="A55" i="11"/>
  <c r="D54" i="11"/>
  <c r="A54" i="11"/>
  <c r="D53" i="11"/>
  <c r="A53" i="11"/>
  <c r="D52" i="11"/>
  <c r="A52" i="11"/>
  <c r="D16" i="11"/>
  <c r="A16" i="11"/>
  <c r="D15" i="11"/>
  <c r="A15" i="11"/>
  <c r="D14" i="11"/>
  <c r="A14" i="11"/>
  <c r="D13" i="11"/>
  <c r="A13" i="11"/>
  <c r="D12" i="11"/>
  <c r="A12" i="11"/>
  <c r="D11" i="11"/>
  <c r="A11" i="11"/>
  <c r="D10" i="11"/>
  <c r="A10" i="11"/>
  <c r="D9" i="11"/>
  <c r="A9" i="11"/>
  <c r="D8" i="11"/>
  <c r="A8" i="11"/>
  <c r="D7" i="11"/>
  <c r="A7" i="11"/>
  <c r="D6" i="11"/>
  <c r="A6" i="11"/>
  <c r="D5" i="11"/>
  <c r="A5" i="11"/>
  <c r="D4" i="11"/>
  <c r="A4" i="11"/>
  <c r="D3" i="11"/>
  <c r="A3" i="11"/>
  <c r="D2" i="11"/>
  <c r="A2" i="11"/>
  <c r="O57" i="11"/>
  <c r="O56" i="11"/>
  <c r="O55" i="11"/>
  <c r="O54" i="11"/>
  <c r="O53" i="11"/>
  <c r="O52" i="11"/>
  <c r="O16" i="11"/>
  <c r="O15" i="11"/>
  <c r="O14" i="11"/>
  <c r="O13" i="11"/>
  <c r="O12" i="11"/>
  <c r="O11" i="11"/>
  <c r="O10" i="11"/>
  <c r="O9" i="11"/>
  <c r="O8" i="11"/>
  <c r="O7" i="11"/>
  <c r="O6" i="11"/>
  <c r="O5" i="11"/>
  <c r="O4" i="11"/>
  <c r="O3" i="11"/>
  <c r="O2" i="11"/>
  <c r="BG4" i="12"/>
  <c r="BH4" i="12"/>
  <c r="BE4" i="12"/>
  <c r="BD4" i="12"/>
  <c r="BC4" i="12"/>
  <c r="AS4" i="12"/>
  <c r="AT4" i="12"/>
  <c r="AG4" i="12"/>
  <c r="AI4" i="12"/>
  <c r="AH4" i="12"/>
  <c r="AC4" i="12"/>
  <c r="AE4" i="12"/>
  <c r="AD4" i="12"/>
  <c r="Z4" i="12"/>
  <c r="AA4" i="12"/>
  <c r="W4" i="12"/>
  <c r="X4" i="12"/>
  <c r="T4" i="12"/>
  <c r="U4" i="12"/>
  <c r="L4" i="12"/>
  <c r="R4" i="12"/>
  <c r="Q4" i="12"/>
  <c r="P4" i="12"/>
  <c r="O4" i="12"/>
  <c r="N4" i="12"/>
  <c r="M4" i="12"/>
  <c r="I5" i="12"/>
  <c r="J5" i="12"/>
  <c r="I4" i="12"/>
  <c r="J4" i="12"/>
  <c r="E4" i="12"/>
  <c r="G4" i="12"/>
  <c r="F4" i="12"/>
  <c r="B4" i="12"/>
  <c r="C4" i="12"/>
  <c r="L2" i="10"/>
  <c r="L6" i="10"/>
  <c r="L5" i="10"/>
  <c r="F6" i="10"/>
  <c r="F2" i="10"/>
  <c r="A4" i="10"/>
  <c r="F1" i="10"/>
  <c r="G8" i="10"/>
  <c r="M8" i="10"/>
  <c r="F5" i="10"/>
  <c r="L4" i="10"/>
  <c r="L3" i="10"/>
  <c r="F4" i="10"/>
  <c r="F3" i="10"/>
  <c r="B1" i="10"/>
  <c r="Q63" i="17"/>
  <c r="M50" i="10"/>
  <c r="Q64" i="17"/>
  <c r="M51" i="10"/>
  <c r="Q65" i="17"/>
  <c r="M52" i="10"/>
  <c r="Q62" i="17"/>
  <c r="M49" i="10"/>
  <c r="Q61" i="17"/>
  <c r="M48" i="10"/>
  <c r="D36" i="17"/>
  <c r="M25" i="10"/>
  <c r="Q60" i="17"/>
  <c r="M47" i="10"/>
  <c r="M53" i="10"/>
  <c r="F30" i="19"/>
  <c r="I30" i="10"/>
  <c r="F27" i="19"/>
  <c r="I27" i="10"/>
  <c r="F28" i="19"/>
  <c r="I28" i="10"/>
  <c r="F29" i="19"/>
  <c r="I29" i="10"/>
  <c r="F31" i="19"/>
  <c r="I31" i="10"/>
  <c r="F32" i="19"/>
  <c r="I32" i="10"/>
  <c r="E24" i="10"/>
  <c r="E23" i="10"/>
  <c r="E22" i="10"/>
  <c r="E21" i="10"/>
  <c r="E20" i="10"/>
  <c r="E19" i="10"/>
  <c r="E18" i="10"/>
  <c r="E17" i="10"/>
  <c r="E16" i="10"/>
  <c r="E15" i="10"/>
  <c r="E14" i="10"/>
  <c r="E13" i="10"/>
  <c r="E12" i="10"/>
  <c r="K24" i="10"/>
  <c r="K11" i="10"/>
  <c r="K23" i="10"/>
  <c r="K22" i="10"/>
  <c r="K21" i="10"/>
  <c r="K20" i="10"/>
  <c r="K19" i="10"/>
  <c r="K18" i="10"/>
  <c r="K17" i="10"/>
  <c r="K16" i="10"/>
  <c r="K15" i="10"/>
  <c r="K14" i="10"/>
  <c r="K13" i="10"/>
  <c r="K12" i="10"/>
  <c r="K29" i="10"/>
  <c r="K31" i="10"/>
  <c r="K30" i="10"/>
  <c r="E11" i="10"/>
  <c r="K43" i="10"/>
  <c r="K42" i="10"/>
  <c r="K41" i="10"/>
  <c r="K40" i="10"/>
  <c r="K39" i="10"/>
  <c r="K38" i="10"/>
  <c r="K37" i="10"/>
  <c r="K36" i="10"/>
  <c r="K35" i="10"/>
  <c r="K44" i="10"/>
  <c r="K27" i="10"/>
  <c r="K28" i="10"/>
  <c r="K32" i="10"/>
  <c r="K10" i="10"/>
  <c r="E35" i="10"/>
  <c r="E34" i="10"/>
  <c r="E33" i="10"/>
  <c r="E32" i="10"/>
  <c r="E31" i="10"/>
  <c r="E30" i="10"/>
  <c r="E29" i="10"/>
  <c r="E36" i="10"/>
  <c r="E45" i="10"/>
  <c r="E44" i="10"/>
  <c r="E43" i="10"/>
  <c r="E47" i="10"/>
  <c r="E46" i="10"/>
  <c r="E42" i="10"/>
  <c r="E27" i="10"/>
  <c r="E28" i="10"/>
  <c r="E39" i="10"/>
  <c r="E40" i="10"/>
  <c r="E41" i="10"/>
  <c r="E48" i="10"/>
  <c r="E8" i="19"/>
  <c r="G10" i="10"/>
  <c r="O45" i="19"/>
  <c r="M44" i="10"/>
  <c r="N45" i="19"/>
  <c r="L44" i="10"/>
  <c r="O36" i="19"/>
  <c r="M35" i="10"/>
  <c r="N36" i="19"/>
  <c r="L35" i="10"/>
  <c r="O31" i="19"/>
  <c r="G48" i="10"/>
  <c r="N31" i="19"/>
  <c r="F48" i="10"/>
  <c r="O24" i="19"/>
  <c r="G41" i="10"/>
  <c r="N24" i="19"/>
  <c r="F41" i="10"/>
  <c r="O23" i="19"/>
  <c r="G40" i="10"/>
  <c r="N23" i="19"/>
  <c r="F40" i="10"/>
  <c r="O22" i="19"/>
  <c r="G39" i="10"/>
  <c r="N22" i="19"/>
  <c r="F39" i="10"/>
  <c r="O9" i="19"/>
  <c r="G28" i="10"/>
  <c r="N9" i="19"/>
  <c r="F28" i="10"/>
  <c r="O8" i="19"/>
  <c r="G27" i="10"/>
  <c r="N8" i="19"/>
  <c r="F27" i="10"/>
  <c r="O30" i="19"/>
  <c r="G47" i="10"/>
  <c r="O29" i="19"/>
  <c r="G46" i="10"/>
  <c r="O28" i="19"/>
  <c r="G45" i="10"/>
  <c r="O27" i="19"/>
  <c r="G44" i="10"/>
  <c r="O26" i="19"/>
  <c r="G43" i="10"/>
  <c r="O25" i="19"/>
  <c r="G42" i="10"/>
  <c r="N28" i="19"/>
  <c r="F45" i="10"/>
  <c r="N27" i="19"/>
  <c r="F44" i="10"/>
  <c r="N26" i="19"/>
  <c r="F43" i="10"/>
  <c r="N30" i="19"/>
  <c r="F47" i="10"/>
  <c r="N29" i="19"/>
  <c r="F46" i="10"/>
  <c r="N25" i="19"/>
  <c r="F42" i="10"/>
  <c r="N17" i="19"/>
  <c r="F36" i="10"/>
  <c r="K8" i="19"/>
  <c r="M10" i="10"/>
  <c r="J8" i="19"/>
  <c r="L10" i="10"/>
  <c r="E9" i="19"/>
  <c r="G11" i="10"/>
  <c r="D9" i="19"/>
  <c r="F11" i="10"/>
  <c r="E10" i="19"/>
  <c r="G12" i="10"/>
  <c r="E32" i="19"/>
  <c r="M32" i="10"/>
  <c r="D32" i="19"/>
  <c r="L32" i="10"/>
  <c r="E12" i="19"/>
  <c r="G14" i="10"/>
  <c r="E29" i="19"/>
  <c r="M29" i="10"/>
  <c r="D29" i="19"/>
  <c r="L29" i="10"/>
  <c r="E28" i="19"/>
  <c r="M28" i="10"/>
  <c r="D28" i="19"/>
  <c r="L28" i="10"/>
  <c r="E27" i="19"/>
  <c r="M27" i="10"/>
  <c r="D27" i="19"/>
  <c r="L27" i="10"/>
  <c r="K22" i="19"/>
  <c r="M24" i="10"/>
  <c r="J22" i="19"/>
  <c r="L24" i="10"/>
  <c r="E22" i="19"/>
  <c r="G24" i="10"/>
  <c r="D22" i="19"/>
  <c r="F24" i="10"/>
  <c r="O17" i="19"/>
  <c r="G36" i="10"/>
  <c r="D10" i="19"/>
  <c r="F12" i="10"/>
  <c r="D11" i="19"/>
  <c r="F13" i="10"/>
  <c r="D12" i="19"/>
  <c r="F14" i="10"/>
  <c r="D13" i="19"/>
  <c r="F15" i="10"/>
  <c r="D14" i="19"/>
  <c r="F16" i="10"/>
  <c r="D15" i="19"/>
  <c r="F17" i="10"/>
  <c r="D16" i="19"/>
  <c r="F18" i="10"/>
  <c r="D17" i="19"/>
  <c r="F19" i="10"/>
  <c r="D18" i="19"/>
  <c r="F20" i="10"/>
  <c r="D19" i="19"/>
  <c r="F21" i="10"/>
  <c r="D20" i="19"/>
  <c r="F22" i="10"/>
  <c r="D21" i="19"/>
  <c r="F23" i="10"/>
  <c r="E11" i="19"/>
  <c r="G13" i="10"/>
  <c r="E13" i="19"/>
  <c r="G15" i="10"/>
  <c r="E14" i="19"/>
  <c r="G16" i="10"/>
  <c r="E15" i="19"/>
  <c r="G17" i="10"/>
  <c r="E16" i="19"/>
  <c r="G18" i="10"/>
  <c r="E17" i="19"/>
  <c r="G19" i="10"/>
  <c r="E18" i="19"/>
  <c r="G20" i="10"/>
  <c r="E19" i="19"/>
  <c r="G21" i="10"/>
  <c r="E20" i="19"/>
  <c r="G22" i="10"/>
  <c r="E21" i="19"/>
  <c r="G23" i="10"/>
  <c r="J9" i="19"/>
  <c r="L11" i="10"/>
  <c r="J10" i="19"/>
  <c r="L12" i="10"/>
  <c r="J11" i="19"/>
  <c r="L13" i="10"/>
  <c r="J12" i="19"/>
  <c r="L14" i="10"/>
  <c r="J13" i="19"/>
  <c r="L15" i="10"/>
  <c r="J14" i="19"/>
  <c r="L16" i="10"/>
  <c r="J15" i="19"/>
  <c r="L17" i="10"/>
  <c r="J16" i="19"/>
  <c r="L18" i="10"/>
  <c r="J17" i="19"/>
  <c r="L19" i="10"/>
  <c r="J18" i="19"/>
  <c r="L20" i="10"/>
  <c r="J19" i="19"/>
  <c r="L21" i="10"/>
  <c r="J20" i="19"/>
  <c r="L22" i="10"/>
  <c r="J21" i="19"/>
  <c r="L23" i="10"/>
  <c r="K12" i="19"/>
  <c r="M14" i="10"/>
  <c r="K13" i="19"/>
  <c r="M15" i="10"/>
  <c r="K14" i="19"/>
  <c r="M16" i="10"/>
  <c r="K15" i="19"/>
  <c r="M17" i="10"/>
  <c r="K16" i="19"/>
  <c r="M18" i="10"/>
  <c r="K17" i="19"/>
  <c r="M19" i="10"/>
  <c r="K18" i="19"/>
  <c r="M20" i="10"/>
  <c r="K19" i="19"/>
  <c r="M21" i="10"/>
  <c r="K20" i="19"/>
  <c r="M22" i="10"/>
  <c r="K21" i="19"/>
  <c r="M23" i="10"/>
  <c r="K9" i="19"/>
  <c r="M11" i="10"/>
  <c r="K10" i="19"/>
  <c r="M12" i="10"/>
  <c r="N10" i="19"/>
  <c r="F29" i="10"/>
  <c r="N11" i="19"/>
  <c r="F30" i="10"/>
  <c r="N12" i="19"/>
  <c r="F31" i="10"/>
  <c r="N13" i="19"/>
  <c r="F32" i="10"/>
  <c r="N14" i="19"/>
  <c r="F33" i="10"/>
  <c r="N15" i="19"/>
  <c r="F34" i="10"/>
  <c r="N16" i="19"/>
  <c r="F35" i="10"/>
  <c r="O10" i="19"/>
  <c r="G29" i="10"/>
  <c r="O11" i="19"/>
  <c r="G30" i="10"/>
  <c r="O12" i="19"/>
  <c r="G31" i="10"/>
  <c r="O13" i="19"/>
  <c r="G32" i="10"/>
  <c r="O14" i="19"/>
  <c r="G33" i="10"/>
  <c r="O15" i="19"/>
  <c r="G34" i="10"/>
  <c r="O16" i="19"/>
  <c r="G35" i="10"/>
  <c r="N37" i="19"/>
  <c r="L36" i="10"/>
  <c r="N38" i="19"/>
  <c r="L37" i="10"/>
  <c r="N39" i="19"/>
  <c r="L38" i="10"/>
  <c r="N40" i="19"/>
  <c r="L39" i="10"/>
  <c r="N41" i="19"/>
  <c r="L40" i="10"/>
  <c r="N42" i="19"/>
  <c r="L41" i="10"/>
  <c r="N43" i="19"/>
  <c r="L42" i="10"/>
  <c r="N44" i="19"/>
  <c r="L43" i="10"/>
  <c r="O44" i="19"/>
  <c r="M43" i="10"/>
  <c r="O43" i="19"/>
  <c r="M42" i="10"/>
  <c r="O42" i="19"/>
  <c r="M41" i="10"/>
  <c r="O41" i="19"/>
  <c r="M40" i="10"/>
  <c r="O40" i="19"/>
  <c r="M39" i="10"/>
  <c r="O39" i="19"/>
  <c r="M38" i="10"/>
  <c r="O38" i="19"/>
  <c r="M37" i="10"/>
  <c r="O37" i="19"/>
  <c r="M36" i="10"/>
  <c r="K11" i="19"/>
  <c r="M13" i="10"/>
  <c r="D30" i="19"/>
  <c r="L30" i="10"/>
  <c r="D31" i="19"/>
  <c r="L31" i="10"/>
  <c r="E30" i="19"/>
  <c r="M30" i="10"/>
  <c r="E31" i="19"/>
  <c r="M31" i="10"/>
  <c r="E10" i="10"/>
  <c r="D8" i="19"/>
  <c r="F10" i="10"/>
  <c r="I3" i="21"/>
  <c r="A78" i="21"/>
  <c r="M4" i="21"/>
  <c r="M65" i="21"/>
  <c r="A65" i="21"/>
  <c r="I4" i="21"/>
  <c r="M44" i="21"/>
  <c r="A44" i="21"/>
  <c r="M29" i="21"/>
  <c r="A29" i="21"/>
  <c r="M13" i="21"/>
  <c r="A13" i="21"/>
  <c r="I6" i="21"/>
  <c r="P3" i="21"/>
  <c r="I2" i="21"/>
  <c r="B2" i="21"/>
  <c r="B1" i="21"/>
  <c r="A28" i="21"/>
  <c r="M28" i="21"/>
  <c r="A12" i="21"/>
  <c r="M12" i="21"/>
  <c r="I5" i="21"/>
  <c r="B5" i="21"/>
  <c r="B4" i="21"/>
  <c r="B3" i="21"/>
  <c r="R1" i="21"/>
  <c r="A77" i="21"/>
  <c r="J11" i="21"/>
  <c r="J12" i="21"/>
  <c r="J13" i="21"/>
  <c r="J14" i="21"/>
  <c r="J15" i="21"/>
  <c r="J16" i="21"/>
  <c r="J17" i="21"/>
  <c r="J18" i="21"/>
  <c r="J19" i="21"/>
  <c r="J20" i="21"/>
  <c r="J21" i="21"/>
  <c r="J22" i="21"/>
  <c r="J23" i="21"/>
  <c r="J24" i="21"/>
  <c r="P11" i="21"/>
  <c r="S11" i="21"/>
  <c r="P12" i="21"/>
  <c r="S12" i="21"/>
  <c r="P13" i="21"/>
  <c r="S13" i="21"/>
  <c r="P14" i="21"/>
  <c r="S14" i="21"/>
  <c r="P15" i="21"/>
  <c r="S15" i="21"/>
  <c r="P16" i="21"/>
  <c r="S16" i="21"/>
  <c r="P17" i="21"/>
  <c r="S17" i="21"/>
  <c r="P18" i="21"/>
  <c r="S18" i="21"/>
  <c r="P19" i="21"/>
  <c r="S19" i="21"/>
  <c r="P20" i="21"/>
  <c r="S20" i="21"/>
  <c r="P21" i="21"/>
  <c r="S21" i="21"/>
  <c r="P22" i="21"/>
  <c r="S22" i="21"/>
  <c r="P23" i="21"/>
  <c r="S23" i="21"/>
  <c r="P24" i="21"/>
  <c r="S24" i="21"/>
  <c r="G11" i="21"/>
  <c r="K11" i="21"/>
  <c r="G12" i="21"/>
  <c r="K12" i="21"/>
  <c r="G13" i="21"/>
  <c r="K13" i="21"/>
  <c r="G14" i="21"/>
  <c r="K14" i="21"/>
  <c r="G15" i="21"/>
  <c r="K15" i="21"/>
  <c r="G16" i="21"/>
  <c r="K16" i="21"/>
  <c r="G17" i="21"/>
  <c r="K17" i="21"/>
  <c r="G18" i="21"/>
  <c r="K18" i="21"/>
  <c r="G19" i="21"/>
  <c r="K19" i="21"/>
  <c r="G20" i="21"/>
  <c r="K20" i="21"/>
  <c r="G21" i="21"/>
  <c r="K21" i="21"/>
  <c r="G22" i="21"/>
  <c r="K22" i="21"/>
  <c r="G23" i="21"/>
  <c r="K23" i="21"/>
  <c r="G24" i="21"/>
  <c r="K24" i="21"/>
  <c r="L78" i="21"/>
  <c r="L75" i="21"/>
  <c r="L76" i="21"/>
  <c r="L77" i="21"/>
  <c r="L79" i="21"/>
  <c r="L80" i="21"/>
  <c r="I24" i="21"/>
  <c r="I12" i="21"/>
  <c r="I13" i="21"/>
  <c r="I14" i="21"/>
  <c r="I15" i="21"/>
  <c r="I16" i="21"/>
  <c r="I17" i="21"/>
  <c r="I18" i="21"/>
  <c r="I19" i="21"/>
  <c r="I20" i="21"/>
  <c r="I21" i="21"/>
  <c r="I22" i="21"/>
  <c r="I23" i="21"/>
  <c r="I40" i="21"/>
  <c r="I27" i="21"/>
  <c r="I28" i="21"/>
  <c r="I29" i="21"/>
  <c r="I30" i="21"/>
  <c r="I31" i="21"/>
  <c r="I32" i="21"/>
  <c r="I33" i="21"/>
  <c r="I34" i="21"/>
  <c r="I35" i="21"/>
  <c r="I36" i="21"/>
  <c r="I37" i="21"/>
  <c r="I38" i="21"/>
  <c r="I39" i="21"/>
  <c r="I77" i="21"/>
  <c r="I78" i="21"/>
  <c r="I79" i="21"/>
  <c r="I11" i="21"/>
  <c r="I65" i="21"/>
  <c r="I66" i="21"/>
  <c r="I67" i="21"/>
  <c r="I68" i="21"/>
  <c r="I69" i="21"/>
  <c r="I70" i="21"/>
  <c r="I71" i="21"/>
  <c r="I72" i="21"/>
  <c r="I64" i="21"/>
  <c r="J65" i="21"/>
  <c r="J66" i="21"/>
  <c r="J67" i="21"/>
  <c r="J68" i="21"/>
  <c r="J69" i="21"/>
  <c r="J70" i="21"/>
  <c r="J71" i="21"/>
  <c r="J72" i="21"/>
  <c r="J73" i="21"/>
  <c r="J64" i="21"/>
  <c r="J74" i="21"/>
  <c r="S65" i="21"/>
  <c r="S64" i="21"/>
  <c r="S66" i="21"/>
  <c r="S67" i="21"/>
  <c r="S68" i="21"/>
  <c r="S69" i="21"/>
  <c r="S70" i="21"/>
  <c r="S71" i="21"/>
  <c r="S72" i="21"/>
  <c r="S73" i="21"/>
  <c r="S74" i="21"/>
  <c r="G65" i="21"/>
  <c r="K65" i="21"/>
  <c r="G66" i="21"/>
  <c r="K66" i="21"/>
  <c r="G67" i="21"/>
  <c r="K67" i="21"/>
  <c r="G68" i="21"/>
  <c r="K68" i="21"/>
  <c r="G69" i="21"/>
  <c r="K69" i="21"/>
  <c r="G70" i="21"/>
  <c r="K70" i="21"/>
  <c r="G71" i="21"/>
  <c r="K71" i="21"/>
  <c r="G72" i="21"/>
  <c r="K72" i="21"/>
  <c r="G73" i="21"/>
  <c r="K73" i="21"/>
  <c r="G64" i="21"/>
  <c r="K64" i="21"/>
  <c r="K74" i="21"/>
  <c r="I73" i="21"/>
  <c r="I75" i="21"/>
  <c r="I76" i="21"/>
  <c r="G76" i="21"/>
  <c r="K76" i="21"/>
  <c r="G77" i="21"/>
  <c r="K77" i="21"/>
  <c r="G78" i="21"/>
  <c r="K78" i="21"/>
  <c r="G79" i="21"/>
  <c r="K79" i="21"/>
  <c r="G80" i="21"/>
  <c r="K80" i="21"/>
  <c r="G75" i="21"/>
  <c r="K75" i="21"/>
  <c r="K81" i="21"/>
  <c r="J76" i="21"/>
  <c r="J75" i="21"/>
  <c r="J77" i="21"/>
  <c r="J78" i="21"/>
  <c r="J79" i="21"/>
  <c r="J80" i="21"/>
  <c r="J81" i="21"/>
  <c r="I80" i="21"/>
  <c r="J27" i="21"/>
  <c r="J28" i="21"/>
  <c r="J29" i="21"/>
  <c r="J30" i="21"/>
  <c r="J31" i="21"/>
  <c r="J32" i="21"/>
  <c r="J33" i="21"/>
  <c r="J34" i="21"/>
  <c r="J35" i="21"/>
  <c r="J36" i="21"/>
  <c r="J37" i="21"/>
  <c r="J38" i="21"/>
  <c r="J39" i="21"/>
  <c r="J40" i="21"/>
  <c r="J26" i="21"/>
  <c r="J41" i="21"/>
  <c r="S27" i="21"/>
  <c r="S28" i="21"/>
  <c r="S29" i="21"/>
  <c r="S30" i="21"/>
  <c r="S31" i="21"/>
  <c r="S32" i="21"/>
  <c r="S33" i="21"/>
  <c r="S34" i="21"/>
  <c r="S35" i="21"/>
  <c r="S36" i="21"/>
  <c r="S37" i="21"/>
  <c r="S38" i="21"/>
  <c r="S39" i="21"/>
  <c r="S40" i="21"/>
  <c r="S26" i="21"/>
  <c r="S41" i="21"/>
  <c r="G27" i="21"/>
  <c r="K27" i="21"/>
  <c r="G28" i="21"/>
  <c r="K28" i="21"/>
  <c r="G29" i="21"/>
  <c r="K29" i="21"/>
  <c r="G30" i="21"/>
  <c r="K30" i="21"/>
  <c r="G31" i="21"/>
  <c r="K31" i="21"/>
  <c r="G32" i="21"/>
  <c r="K32" i="21"/>
  <c r="G33" i="21"/>
  <c r="K33" i="21"/>
  <c r="G34" i="21"/>
  <c r="K34" i="21"/>
  <c r="G35" i="21"/>
  <c r="K35" i="21"/>
  <c r="G36" i="21"/>
  <c r="K36" i="21"/>
  <c r="G37" i="21"/>
  <c r="K37" i="21"/>
  <c r="G38" i="21"/>
  <c r="K38" i="21"/>
  <c r="G39" i="21"/>
  <c r="K39" i="21"/>
  <c r="G40" i="21"/>
  <c r="K40" i="21"/>
  <c r="G26" i="21"/>
  <c r="K26" i="21"/>
  <c r="K41" i="21"/>
  <c r="I26" i="21"/>
  <c r="I44" i="21"/>
  <c r="I45" i="21"/>
  <c r="I46" i="21"/>
  <c r="I47" i="21"/>
  <c r="I48" i="21"/>
  <c r="I49" i="21"/>
  <c r="I50" i="21"/>
  <c r="I51" i="21"/>
  <c r="I42" i="21"/>
  <c r="G43" i="21"/>
  <c r="K43" i="21"/>
  <c r="G44" i="21"/>
  <c r="K44" i="21"/>
  <c r="G45" i="21"/>
  <c r="K45" i="21"/>
  <c r="G46" i="21"/>
  <c r="K46" i="21"/>
  <c r="G47" i="21"/>
  <c r="K47" i="21"/>
  <c r="G48" i="21"/>
  <c r="K48" i="21"/>
  <c r="G49" i="21"/>
  <c r="K49" i="21"/>
  <c r="G50" i="21"/>
  <c r="K50" i="21"/>
  <c r="G51" i="21"/>
  <c r="K51" i="21"/>
  <c r="G42" i="21"/>
  <c r="K42" i="21"/>
  <c r="K52" i="21"/>
  <c r="S43" i="21"/>
  <c r="S44" i="21"/>
  <c r="S45" i="21"/>
  <c r="S46" i="21"/>
  <c r="S47" i="21"/>
  <c r="S48" i="21"/>
  <c r="S49" i="21"/>
  <c r="S50" i="21"/>
  <c r="S51" i="21"/>
  <c r="S42" i="21"/>
  <c r="J43" i="21"/>
  <c r="J44" i="21"/>
  <c r="J45" i="21"/>
  <c r="J46" i="21"/>
  <c r="J47" i="21"/>
  <c r="J48" i="21"/>
  <c r="J49" i="21"/>
  <c r="J50" i="21"/>
  <c r="J51" i="21"/>
  <c r="J42" i="21"/>
  <c r="J52" i="21"/>
  <c r="I43" i="21"/>
  <c r="S54" i="21"/>
  <c r="S55" i="21"/>
  <c r="S56" i="21"/>
  <c r="S57" i="21"/>
  <c r="S58" i="21"/>
  <c r="S59" i="21"/>
  <c r="S60" i="21"/>
  <c r="S61" i="21"/>
  <c r="S62" i="21"/>
  <c r="S53" i="21"/>
  <c r="S63" i="21"/>
  <c r="I10" i="21"/>
  <c r="G10" i="21"/>
  <c r="K10" i="21"/>
  <c r="K25" i="21"/>
  <c r="P10" i="21"/>
  <c r="S10" i="21"/>
  <c r="S25" i="21"/>
  <c r="J10" i="21"/>
  <c r="J25" i="21"/>
  <c r="C44" i="20"/>
  <c r="C42" i="20"/>
  <c r="C41" i="20"/>
  <c r="D39" i="20"/>
  <c r="E39" i="20"/>
  <c r="F39" i="20"/>
  <c r="H39" i="20"/>
  <c r="I39" i="20"/>
  <c r="E3" i="11"/>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B3" i="11"/>
  <c r="C3" i="11"/>
  <c r="B4" i="11"/>
  <c r="C4" i="11"/>
  <c r="B5" i="11"/>
  <c r="C5" i="11"/>
  <c r="B6" i="11"/>
  <c r="C6" i="11"/>
  <c r="B7" i="11"/>
  <c r="C7" i="11"/>
  <c r="B8" i="11"/>
  <c r="C8" i="11"/>
  <c r="B9" i="11"/>
  <c r="C9" i="11"/>
  <c r="B10" i="11"/>
  <c r="C10" i="11"/>
  <c r="B11" i="11"/>
  <c r="C11" i="11"/>
  <c r="B12" i="11"/>
  <c r="C12" i="11"/>
  <c r="B13" i="11"/>
  <c r="C13" i="11"/>
  <c r="B14" i="11"/>
  <c r="C14" i="11"/>
  <c r="B15" i="11"/>
  <c r="C15" i="11"/>
  <c r="B16" i="11"/>
  <c r="C16" i="11"/>
  <c r="B17" i="11"/>
  <c r="C17" i="11"/>
  <c r="B18" i="11"/>
  <c r="C18" i="11"/>
  <c r="B19" i="11"/>
  <c r="C19" i="11"/>
  <c r="B20" i="11"/>
  <c r="C20" i="11"/>
  <c r="B21" i="11"/>
  <c r="C21" i="11"/>
  <c r="B22" i="11"/>
  <c r="C22" i="11"/>
  <c r="B23" i="11"/>
  <c r="C23" i="11"/>
  <c r="B24" i="11"/>
  <c r="C24" i="11"/>
  <c r="B25" i="11"/>
  <c r="C25" i="11"/>
  <c r="B26" i="11"/>
  <c r="C26" i="11"/>
  <c r="B27" i="11"/>
  <c r="C27" i="11"/>
  <c r="B28" i="11"/>
  <c r="C28" i="11"/>
  <c r="B29" i="11"/>
  <c r="C29" i="11"/>
  <c r="B30" i="11"/>
  <c r="C30" i="11"/>
  <c r="B31" i="11"/>
  <c r="C31" i="11"/>
  <c r="B32" i="11"/>
  <c r="C32" i="11"/>
  <c r="B33" i="11"/>
  <c r="C33" i="11"/>
  <c r="B34" i="11"/>
  <c r="C34" i="11"/>
  <c r="B35" i="11"/>
  <c r="C35" i="11"/>
  <c r="B36" i="11"/>
  <c r="C36" i="11"/>
  <c r="B37" i="11"/>
  <c r="C37" i="11"/>
  <c r="B38" i="11"/>
  <c r="C38" i="11"/>
  <c r="B39" i="11"/>
  <c r="C39" i="11"/>
  <c r="B40" i="11"/>
  <c r="C40" i="11"/>
  <c r="B41" i="11"/>
  <c r="C41" i="11"/>
  <c r="B42" i="11"/>
  <c r="C42" i="11"/>
  <c r="B43" i="11"/>
  <c r="C43" i="11"/>
  <c r="B44" i="11"/>
  <c r="C44" i="11"/>
  <c r="B45" i="11"/>
  <c r="C45" i="11"/>
  <c r="B46" i="11"/>
  <c r="C46" i="11"/>
  <c r="B47" i="11"/>
  <c r="C47" i="11"/>
  <c r="B48" i="11"/>
  <c r="C48" i="11"/>
  <c r="B49" i="11"/>
  <c r="C49" i="11"/>
  <c r="B50" i="11"/>
  <c r="C50" i="11"/>
  <c r="B51" i="11"/>
  <c r="C51" i="11"/>
  <c r="B52" i="11"/>
  <c r="C52" i="11"/>
  <c r="B53" i="11"/>
  <c r="C53" i="11"/>
  <c r="B54" i="11"/>
  <c r="C54" i="11"/>
  <c r="B55" i="11"/>
  <c r="C55" i="11"/>
  <c r="B56" i="11"/>
  <c r="C56" i="11"/>
  <c r="B57" i="11"/>
  <c r="C57" i="11"/>
  <c r="B58" i="11"/>
  <c r="C58" i="11"/>
  <c r="B59" i="11"/>
  <c r="C59" i="11"/>
  <c r="B60" i="11"/>
  <c r="C60" i="11"/>
  <c r="B61" i="11"/>
  <c r="C61" i="11"/>
  <c r="B62" i="11"/>
  <c r="C62" i="11"/>
  <c r="B63" i="11"/>
  <c r="C63" i="11"/>
  <c r="B64" i="11"/>
  <c r="C64" i="11"/>
  <c r="B65" i="11"/>
  <c r="C65" i="11"/>
  <c r="B66" i="11"/>
  <c r="C66" i="11"/>
  <c r="B67" i="11"/>
  <c r="C67" i="11"/>
  <c r="B68" i="11"/>
  <c r="C68" i="11"/>
  <c r="B69" i="11"/>
  <c r="C69" i="11"/>
  <c r="B70" i="11"/>
  <c r="C70" i="11"/>
  <c r="B71" i="11"/>
  <c r="C71" i="11"/>
  <c r="B72" i="11"/>
  <c r="C72" i="11"/>
  <c r="B73" i="11"/>
  <c r="C73" i="11"/>
  <c r="B74" i="11"/>
  <c r="C74" i="11"/>
  <c r="B75" i="11"/>
  <c r="C75" i="11"/>
  <c r="E2" i="11"/>
  <c r="C2" i="11"/>
  <c r="B2" i="11"/>
  <c r="H72" i="11"/>
  <c r="H73" i="11"/>
  <c r="H74" i="11"/>
  <c r="H75" i="11"/>
  <c r="H71" i="11"/>
  <c r="H3" i="11"/>
  <c r="H4" i="11"/>
  <c r="H5" i="11"/>
  <c r="H6" i="11"/>
  <c r="H7" i="11"/>
  <c r="H8" i="11"/>
  <c r="H9"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2" i="11"/>
  <c r="AC72" i="11"/>
  <c r="AC73" i="11"/>
  <c r="AC74" i="11"/>
  <c r="AC75" i="11"/>
  <c r="AC71" i="11"/>
  <c r="R69" i="11"/>
  <c r="AC69" i="11"/>
  <c r="R70" i="11"/>
  <c r="AC70" i="11"/>
  <c r="AC68" i="11"/>
  <c r="R68" i="11"/>
  <c r="G59" i="11"/>
  <c r="Q59" i="11"/>
  <c r="R59" i="11"/>
  <c r="S59" i="11"/>
  <c r="AC59" i="11"/>
  <c r="G60" i="11"/>
  <c r="Q60" i="11"/>
  <c r="R60" i="11"/>
  <c r="S60" i="11"/>
  <c r="AC60" i="11"/>
  <c r="G61" i="11"/>
  <c r="Q61" i="11"/>
  <c r="R61" i="11"/>
  <c r="S61" i="11"/>
  <c r="AC61" i="11"/>
  <c r="G62" i="11"/>
  <c r="Q62" i="11"/>
  <c r="R62" i="11"/>
  <c r="S62" i="11"/>
  <c r="AC62" i="11"/>
  <c r="G63" i="11"/>
  <c r="Q63" i="11"/>
  <c r="R63" i="11"/>
  <c r="S63" i="11"/>
  <c r="AC63" i="11"/>
  <c r="G64" i="11"/>
  <c r="Q64" i="11"/>
  <c r="R64" i="11"/>
  <c r="S64" i="11"/>
  <c r="AC64" i="11"/>
  <c r="G65" i="11"/>
  <c r="Q65" i="11"/>
  <c r="R65" i="11"/>
  <c r="S65" i="11"/>
  <c r="AC65" i="11"/>
  <c r="G66" i="11"/>
  <c r="Q66" i="11"/>
  <c r="R66" i="11"/>
  <c r="S66" i="11"/>
  <c r="AC66" i="11"/>
  <c r="G67" i="11"/>
  <c r="Q67" i="11"/>
  <c r="R67" i="11"/>
  <c r="S67" i="11"/>
  <c r="AC67" i="11"/>
  <c r="AC58" i="11"/>
  <c r="R58" i="11"/>
  <c r="S58" i="11"/>
  <c r="Q58" i="11"/>
  <c r="G58" i="11"/>
  <c r="G53" i="11"/>
  <c r="K53" i="11"/>
  <c r="Q53" i="11"/>
  <c r="R53" i="11"/>
  <c r="S53" i="11"/>
  <c r="AC53" i="11"/>
  <c r="G54" i="11"/>
  <c r="K54" i="11"/>
  <c r="Q54" i="11"/>
  <c r="R54" i="11"/>
  <c r="S54" i="11"/>
  <c r="AC54" i="11"/>
  <c r="G55" i="11"/>
  <c r="K55" i="11"/>
  <c r="Q55" i="11"/>
  <c r="R55" i="11"/>
  <c r="S55" i="11"/>
  <c r="AC55" i="11"/>
  <c r="G56" i="11"/>
  <c r="K56" i="11"/>
  <c r="Q56" i="11"/>
  <c r="R56" i="11"/>
  <c r="S56" i="11"/>
  <c r="AC56" i="11"/>
  <c r="G57" i="11"/>
  <c r="K57" i="11"/>
  <c r="Q57" i="11"/>
  <c r="R57" i="11"/>
  <c r="S57" i="11"/>
  <c r="AC57" i="11"/>
  <c r="AC52" i="11"/>
  <c r="S52" i="11"/>
  <c r="R52" i="11"/>
  <c r="Q52" i="11"/>
  <c r="K52" i="11"/>
  <c r="G52" i="11"/>
  <c r="G43" i="11"/>
  <c r="G44" i="11"/>
  <c r="G45" i="11"/>
  <c r="G46" i="11"/>
  <c r="G47" i="11"/>
  <c r="G48" i="11"/>
  <c r="G49" i="11"/>
  <c r="G50" i="11"/>
  <c r="G51" i="11"/>
  <c r="G42" i="11"/>
  <c r="AC43" i="11"/>
  <c r="AC44" i="11"/>
  <c r="AC45" i="11"/>
  <c r="AC46" i="11"/>
  <c r="AC47" i="11"/>
  <c r="AC48" i="11"/>
  <c r="AC49" i="11"/>
  <c r="AC50" i="11"/>
  <c r="AC51" i="11"/>
  <c r="R43" i="11"/>
  <c r="R44" i="11"/>
  <c r="R45" i="11"/>
  <c r="R46" i="11"/>
  <c r="R47" i="11"/>
  <c r="R48" i="11"/>
  <c r="R49" i="11"/>
  <c r="R50" i="11"/>
  <c r="R51" i="11"/>
  <c r="AC42" i="11"/>
  <c r="R42" i="11"/>
  <c r="G33" i="11"/>
  <c r="Q33" i="11"/>
  <c r="R33" i="11"/>
  <c r="S33" i="11"/>
  <c r="AC33" i="11"/>
  <c r="G34" i="11"/>
  <c r="Q34" i="11"/>
  <c r="R34" i="11"/>
  <c r="S34" i="11"/>
  <c r="AC34" i="11"/>
  <c r="G35" i="11"/>
  <c r="Q35" i="11"/>
  <c r="R35" i="11"/>
  <c r="S35" i="11"/>
  <c r="AC35" i="11"/>
  <c r="G36" i="11"/>
  <c r="Q36" i="11"/>
  <c r="R36" i="11"/>
  <c r="S36" i="11"/>
  <c r="AC36" i="11"/>
  <c r="G37" i="11"/>
  <c r="Q37" i="11"/>
  <c r="R37" i="11"/>
  <c r="S37" i="11"/>
  <c r="AC37" i="11"/>
  <c r="G38" i="11"/>
  <c r="Q38" i="11"/>
  <c r="R38" i="11"/>
  <c r="S38" i="11"/>
  <c r="AC38" i="11"/>
  <c r="G39" i="11"/>
  <c r="Q39" i="11"/>
  <c r="R39" i="11"/>
  <c r="S39" i="11"/>
  <c r="AC39" i="11"/>
  <c r="G40" i="11"/>
  <c r="Q40" i="11"/>
  <c r="R40" i="11"/>
  <c r="S40" i="11"/>
  <c r="AC40" i="11"/>
  <c r="G41" i="11"/>
  <c r="Q41" i="11"/>
  <c r="R41" i="11"/>
  <c r="S41" i="11"/>
  <c r="AC41" i="11"/>
  <c r="G32" i="11"/>
  <c r="AC32" i="11"/>
  <c r="Q32" i="11"/>
  <c r="R32" i="11"/>
  <c r="S32" i="11"/>
  <c r="AC17" i="11"/>
  <c r="AC18" i="11"/>
  <c r="AC19" i="11"/>
  <c r="AC20" i="11"/>
  <c r="AC21" i="11"/>
  <c r="AC22" i="11"/>
  <c r="AC23" i="11"/>
  <c r="AC24" i="11"/>
  <c r="AC25" i="11"/>
  <c r="AC26" i="11"/>
  <c r="AC27" i="11"/>
  <c r="AC28" i="11"/>
  <c r="AC29" i="11"/>
  <c r="AC30" i="11"/>
  <c r="AC31" i="11"/>
  <c r="Q17" i="11"/>
  <c r="R17" i="11"/>
  <c r="S17" i="11"/>
  <c r="Q18" i="11"/>
  <c r="R18" i="11"/>
  <c r="S18" i="11"/>
  <c r="Q19" i="11"/>
  <c r="R19" i="11"/>
  <c r="S19" i="11"/>
  <c r="Q20" i="11"/>
  <c r="R20" i="11"/>
  <c r="S20" i="11"/>
  <c r="Q21" i="11"/>
  <c r="R21" i="11"/>
  <c r="S21" i="11"/>
  <c r="Q22" i="11"/>
  <c r="R22" i="11"/>
  <c r="S22" i="11"/>
  <c r="Q23" i="11"/>
  <c r="R23" i="11"/>
  <c r="S23" i="11"/>
  <c r="Q24" i="11"/>
  <c r="R24" i="11"/>
  <c r="S24" i="11"/>
  <c r="Q25" i="11"/>
  <c r="R25" i="11"/>
  <c r="S25" i="11"/>
  <c r="Q26" i="11"/>
  <c r="R26" i="11"/>
  <c r="S26" i="11"/>
  <c r="Q27" i="11"/>
  <c r="R27" i="11"/>
  <c r="S27" i="11"/>
  <c r="Q28" i="11"/>
  <c r="R28" i="11"/>
  <c r="S28" i="11"/>
  <c r="Q29" i="11"/>
  <c r="R29" i="11"/>
  <c r="S29" i="11"/>
  <c r="Q30" i="11"/>
  <c r="R30" i="11"/>
  <c r="S30" i="11"/>
  <c r="Q31" i="11"/>
  <c r="R31" i="11"/>
  <c r="S31" i="11"/>
  <c r="P18" i="11"/>
  <c r="P19" i="11"/>
  <c r="P20" i="11"/>
  <c r="P21" i="11"/>
  <c r="P22" i="11"/>
  <c r="P23" i="11"/>
  <c r="P24" i="11"/>
  <c r="P25" i="11"/>
  <c r="P26" i="11"/>
  <c r="P27" i="11"/>
  <c r="P28" i="11"/>
  <c r="P29" i="11"/>
  <c r="P30" i="11"/>
  <c r="P31" i="11"/>
  <c r="K17" i="11"/>
  <c r="K18" i="11"/>
  <c r="K19" i="11"/>
  <c r="K20" i="11"/>
  <c r="K21" i="11"/>
  <c r="K22" i="11"/>
  <c r="K23" i="11"/>
  <c r="K24" i="11"/>
  <c r="K25" i="11"/>
  <c r="K26" i="11"/>
  <c r="K27" i="11"/>
  <c r="K28" i="11"/>
  <c r="K29" i="11"/>
  <c r="K30" i="11"/>
  <c r="K31" i="11"/>
  <c r="G17" i="11"/>
  <c r="G18" i="11"/>
  <c r="G19" i="11"/>
  <c r="G20" i="11"/>
  <c r="G21" i="11"/>
  <c r="G22" i="11"/>
  <c r="G23" i="11"/>
  <c r="G24" i="11"/>
  <c r="G25" i="11"/>
  <c r="G26" i="11"/>
  <c r="G27" i="11"/>
  <c r="G28" i="11"/>
  <c r="G29" i="11"/>
  <c r="G30" i="11"/>
  <c r="G31" i="11"/>
  <c r="P17" i="11"/>
  <c r="K3" i="11"/>
  <c r="P3" i="11"/>
  <c r="Q3" i="11"/>
  <c r="R3" i="11"/>
  <c r="S3" i="11"/>
  <c r="AC3" i="11"/>
  <c r="K4" i="11"/>
  <c r="P4" i="11"/>
  <c r="Q4" i="11"/>
  <c r="R4" i="11"/>
  <c r="S4" i="11"/>
  <c r="AC4" i="11"/>
  <c r="K5" i="11"/>
  <c r="P5" i="11"/>
  <c r="Q5" i="11"/>
  <c r="R5" i="11"/>
  <c r="S5" i="11"/>
  <c r="AC5" i="11"/>
  <c r="K6" i="11"/>
  <c r="P6" i="11"/>
  <c r="Q6" i="11"/>
  <c r="R6" i="11"/>
  <c r="S6" i="11"/>
  <c r="AC6" i="11"/>
  <c r="K7" i="11"/>
  <c r="P7" i="11"/>
  <c r="Q7" i="11"/>
  <c r="R7" i="11"/>
  <c r="S7" i="11"/>
  <c r="AC7" i="11"/>
  <c r="K8" i="11"/>
  <c r="P8" i="11"/>
  <c r="Q8" i="11"/>
  <c r="R8" i="11"/>
  <c r="S8" i="11"/>
  <c r="AC8" i="11"/>
  <c r="K9" i="11"/>
  <c r="P9" i="11"/>
  <c r="Q9" i="11"/>
  <c r="R9" i="11"/>
  <c r="S9" i="11"/>
  <c r="AC9" i="11"/>
  <c r="K10" i="11"/>
  <c r="P10" i="11"/>
  <c r="Q10" i="11"/>
  <c r="R10" i="11"/>
  <c r="S10" i="11"/>
  <c r="AC10" i="11"/>
  <c r="K11" i="11"/>
  <c r="P11" i="11"/>
  <c r="Q11" i="11"/>
  <c r="R11" i="11"/>
  <c r="S11" i="11"/>
  <c r="AC11" i="11"/>
  <c r="K12" i="11"/>
  <c r="P12" i="11"/>
  <c r="Q12" i="11"/>
  <c r="R12" i="11"/>
  <c r="S12" i="11"/>
  <c r="AC12" i="11"/>
  <c r="K13" i="11"/>
  <c r="P13" i="11"/>
  <c r="Q13" i="11"/>
  <c r="R13" i="11"/>
  <c r="S13" i="11"/>
  <c r="AC13" i="11"/>
  <c r="K14" i="11"/>
  <c r="P14" i="11"/>
  <c r="Q14" i="11"/>
  <c r="R14" i="11"/>
  <c r="S14" i="11"/>
  <c r="AC14" i="11"/>
  <c r="K15" i="11"/>
  <c r="P15" i="11"/>
  <c r="Q15" i="11"/>
  <c r="R15" i="11"/>
  <c r="S15" i="11"/>
  <c r="AC15" i="11"/>
  <c r="K16" i="11"/>
  <c r="P16" i="11"/>
  <c r="Q16" i="11"/>
  <c r="R16" i="11"/>
  <c r="S16" i="11"/>
  <c r="AC16" i="11"/>
  <c r="AC2" i="11"/>
  <c r="S2" i="11"/>
  <c r="R2" i="11"/>
  <c r="Q2" i="11"/>
  <c r="P2" i="11"/>
  <c r="K2" i="11"/>
  <c r="G3" i="11"/>
  <c r="G4" i="11"/>
  <c r="G5" i="11"/>
  <c r="G6" i="11"/>
  <c r="G7" i="11"/>
  <c r="G8" i="11"/>
  <c r="G9" i="11"/>
  <c r="G10" i="11"/>
  <c r="G11" i="11"/>
  <c r="G12" i="11"/>
  <c r="G13" i="11"/>
  <c r="G14" i="11"/>
  <c r="G15" i="11"/>
  <c r="G16" i="11"/>
  <c r="G2" i="11"/>
  <c r="AO4" i="12"/>
  <c r="AP4" i="12"/>
  <c r="R60" i="17"/>
  <c r="L13" i="17"/>
  <c r="M12" i="17"/>
  <c r="Q68" i="17"/>
  <c r="Q69" i="17"/>
  <c r="R68" i="17"/>
  <c r="Q66" i="17"/>
  <c r="Q67" i="17"/>
  <c r="R66" i="17"/>
  <c r="K60" i="17"/>
  <c r="I60" i="17"/>
  <c r="K51" i="17"/>
  <c r="I51" i="17"/>
  <c r="F45" i="17"/>
  <c r="E45" i="17"/>
  <c r="R57" i="17"/>
  <c r="P57" i="17"/>
  <c r="R43" i="17"/>
  <c r="P43" i="17"/>
  <c r="R29" i="17"/>
  <c r="P29" i="17"/>
  <c r="L34" i="17"/>
  <c r="K34" i="17"/>
  <c r="F34" i="17"/>
  <c r="E34" i="17"/>
  <c r="AV24" i="19"/>
  <c r="AU24" i="19"/>
  <c r="AR24" i="19"/>
  <c r="AQ24" i="19"/>
  <c r="AX23" i="19"/>
  <c r="AX24" i="19"/>
  <c r="AX26" i="19"/>
  <c r="AX27" i="19"/>
  <c r="AW27" i="19"/>
  <c r="AW26" i="19"/>
  <c r="AW24" i="19"/>
  <c r="AW23" i="19"/>
  <c r="AR27" i="19"/>
  <c r="AQ27" i="19"/>
  <c r="AD23" i="19"/>
  <c r="AE23" i="19"/>
  <c r="AD24" i="19"/>
  <c r="AE24" i="19"/>
  <c r="AD25" i="19"/>
  <c r="AE25" i="19"/>
  <c r="AD26" i="19"/>
  <c r="AE26" i="19"/>
  <c r="AD27" i="19"/>
  <c r="AE27" i="19"/>
  <c r="AD28" i="19"/>
  <c r="AE28" i="19"/>
  <c r="AD29" i="19"/>
  <c r="AE29" i="19"/>
  <c r="AD30" i="19"/>
  <c r="AE30" i="19"/>
  <c r="AQ23" i="19"/>
  <c r="AD31" i="19"/>
  <c r="AR23" i="19"/>
  <c r="AE31" i="19"/>
  <c r="AE22" i="19"/>
  <c r="AD22" i="19"/>
  <c r="AD17" i="19"/>
  <c r="AU23" i="19"/>
  <c r="AD9" i="19"/>
  <c r="AV23" i="19"/>
  <c r="AE9" i="19"/>
  <c r="AD10" i="19"/>
  <c r="AE10" i="19"/>
  <c r="AD11" i="19"/>
  <c r="AE11" i="19"/>
  <c r="AD12" i="19"/>
  <c r="AE12" i="19"/>
  <c r="AD13" i="19"/>
  <c r="AE13" i="19"/>
  <c r="AD14" i="19"/>
  <c r="AE14" i="19"/>
  <c r="AD15" i="19"/>
  <c r="AE15" i="19"/>
  <c r="AD16" i="19"/>
  <c r="AE16" i="19"/>
  <c r="AE17" i="19"/>
  <c r="AE8" i="19"/>
  <c r="AD8" i="19"/>
  <c r="T28" i="19"/>
  <c r="U28" i="19"/>
  <c r="T29" i="19"/>
  <c r="U29" i="19"/>
  <c r="T30" i="19"/>
  <c r="U30" i="19"/>
  <c r="T31" i="19"/>
  <c r="U31" i="19"/>
  <c r="T32" i="19"/>
  <c r="U32" i="19"/>
  <c r="U27" i="19"/>
  <c r="T27" i="19"/>
  <c r="Z9" i="19"/>
  <c r="AA9" i="19"/>
  <c r="Z10" i="19"/>
  <c r="AA10" i="19"/>
  <c r="Z11" i="19"/>
  <c r="AA11" i="19"/>
  <c r="Z12" i="19"/>
  <c r="AA12" i="19"/>
  <c r="Z13" i="19"/>
  <c r="AA13" i="19"/>
  <c r="Z14" i="19"/>
  <c r="AA14" i="19"/>
  <c r="Z15" i="19"/>
  <c r="AA15" i="19"/>
  <c r="Z16" i="19"/>
  <c r="AA16" i="19"/>
  <c r="Z17" i="19"/>
  <c r="AA17" i="19"/>
  <c r="Z18" i="19"/>
  <c r="AA18" i="19"/>
  <c r="Z19" i="19"/>
  <c r="AA19" i="19"/>
  <c r="Z20" i="19"/>
  <c r="AA20" i="19"/>
  <c r="Z21" i="19"/>
  <c r="AA21" i="19"/>
  <c r="Z22" i="19"/>
  <c r="AA22" i="19"/>
  <c r="AA8" i="19"/>
  <c r="Z8" i="19"/>
  <c r="T9" i="19"/>
  <c r="U9" i="19"/>
  <c r="T10" i="19"/>
  <c r="U10" i="19"/>
  <c r="T11" i="19"/>
  <c r="U11" i="19"/>
  <c r="T12" i="19"/>
  <c r="U12" i="19"/>
  <c r="T13" i="19"/>
  <c r="U13" i="19"/>
  <c r="T14" i="19"/>
  <c r="U14" i="19"/>
  <c r="T15" i="19"/>
  <c r="U15" i="19"/>
  <c r="T16" i="19"/>
  <c r="U16" i="19"/>
  <c r="T17" i="19"/>
  <c r="U17" i="19"/>
  <c r="T18" i="19"/>
  <c r="U18" i="19"/>
  <c r="T19" i="19"/>
  <c r="U19" i="19"/>
  <c r="T20" i="19"/>
  <c r="U20" i="19"/>
  <c r="T21" i="19"/>
  <c r="U21" i="19"/>
  <c r="T22" i="19"/>
  <c r="U22" i="19"/>
  <c r="U8" i="19"/>
  <c r="T8" i="19"/>
  <c r="AR29" i="19"/>
  <c r="AQ29" i="19"/>
  <c r="AQ7" i="19"/>
  <c r="AR7" i="19"/>
  <c r="AU7" i="19"/>
  <c r="AV7" i="19"/>
  <c r="AQ8" i="19"/>
  <c r="AR8" i="19"/>
  <c r="AU8" i="19"/>
  <c r="AV8" i="19"/>
  <c r="AQ9" i="19"/>
  <c r="AR9" i="19"/>
  <c r="AU9" i="19"/>
  <c r="AV9" i="19"/>
  <c r="AQ10" i="19"/>
  <c r="AR10" i="19"/>
  <c r="AU10" i="19"/>
  <c r="AV10" i="19"/>
  <c r="AQ12" i="19"/>
  <c r="AR12" i="19"/>
  <c r="AS12" i="19"/>
  <c r="AT12" i="19"/>
  <c r="AU12" i="19"/>
  <c r="AV12" i="19"/>
  <c r="AQ13" i="19"/>
  <c r="AR13" i="19"/>
  <c r="AU13" i="19"/>
  <c r="AV13" i="19"/>
  <c r="AQ14" i="19"/>
  <c r="AR14" i="19"/>
  <c r="AU14" i="19"/>
  <c r="AV14" i="19"/>
  <c r="AQ15" i="19"/>
  <c r="AR15" i="19"/>
  <c r="AU15" i="19"/>
  <c r="AV15" i="19"/>
  <c r="AQ16" i="19"/>
  <c r="AR16" i="19"/>
  <c r="AU16" i="19"/>
  <c r="AV16" i="19"/>
  <c r="AQ18" i="19"/>
  <c r="AR18" i="19"/>
  <c r="AU18" i="19"/>
  <c r="AV18" i="19"/>
  <c r="AQ19" i="19"/>
  <c r="AR19" i="19"/>
  <c r="AU19" i="19"/>
  <c r="AV19" i="19"/>
  <c r="AQ20" i="19"/>
  <c r="AR20" i="19"/>
  <c r="AU20" i="19"/>
  <c r="AV20" i="19"/>
  <c r="AQ21" i="19"/>
  <c r="AR21" i="19"/>
  <c r="AU21" i="19"/>
  <c r="AV21" i="19"/>
  <c r="AQ26" i="19"/>
  <c r="AR26" i="19"/>
  <c r="AU26" i="19"/>
  <c r="AV26" i="19"/>
  <c r="AU27" i="19"/>
  <c r="AV27" i="19"/>
  <c r="AV6" i="19"/>
  <c r="AU6" i="19"/>
  <c r="AT6" i="19"/>
  <c r="AS6" i="19"/>
  <c r="AR6" i="19"/>
  <c r="AQ6" i="19"/>
  <c r="I38" i="19"/>
  <c r="J38" i="19"/>
  <c r="K38" i="19"/>
  <c r="I39" i="19"/>
  <c r="J39" i="19"/>
  <c r="K39" i="19"/>
  <c r="I40" i="19"/>
  <c r="J40" i="19"/>
  <c r="K40" i="19"/>
  <c r="I41" i="19"/>
  <c r="J41" i="19"/>
  <c r="K41" i="19"/>
  <c r="B43" i="19"/>
  <c r="B44" i="19"/>
  <c r="B45" i="19"/>
  <c r="A43" i="19"/>
  <c r="A44" i="19"/>
  <c r="A45" i="19"/>
  <c r="B42" i="19"/>
  <c r="A42" i="19"/>
  <c r="K37" i="19"/>
  <c r="J37" i="19"/>
  <c r="I37" i="19"/>
  <c r="J35" i="19"/>
  <c r="D37" i="19"/>
  <c r="D38" i="19"/>
  <c r="E37" i="19"/>
  <c r="E38" i="19"/>
  <c r="B37" i="19"/>
  <c r="B38" i="19"/>
  <c r="A37" i="19"/>
  <c r="A38" i="19"/>
  <c r="E36" i="19"/>
  <c r="D36" i="19"/>
  <c r="B36" i="19"/>
  <c r="A36" i="19"/>
  <c r="I6" i="19"/>
  <c r="C6" i="19"/>
  <c r="C25" i="19"/>
  <c r="D14" i="8"/>
  <c r="E16" i="8"/>
  <c r="C33" i="8"/>
  <c r="C34" i="8"/>
  <c r="C35" i="8"/>
  <c r="C36" i="8"/>
  <c r="C37" i="8"/>
  <c r="C38" i="8"/>
  <c r="C39" i="8"/>
  <c r="C40" i="8"/>
  <c r="C41" i="8"/>
  <c r="C42" i="8"/>
  <c r="C43" i="8"/>
  <c r="K33" i="8"/>
  <c r="K34" i="8"/>
  <c r="K35" i="8"/>
  <c r="K36" i="8"/>
  <c r="K37" i="8"/>
  <c r="K38" i="8"/>
  <c r="K39" i="8"/>
  <c r="K40" i="8"/>
  <c r="K41" i="8"/>
  <c r="K42" i="8"/>
  <c r="K43" i="8"/>
  <c r="S33" i="8"/>
  <c r="S34" i="8"/>
  <c r="S35" i="8"/>
  <c r="S36" i="8"/>
  <c r="S37" i="8"/>
  <c r="S38" i="8"/>
  <c r="S39" i="8"/>
  <c r="S40" i="8"/>
  <c r="S41" i="8"/>
  <c r="S42" i="8"/>
  <c r="S43" i="8"/>
  <c r="U45" i="8"/>
  <c r="C14" i="8"/>
  <c r="C15" i="8"/>
  <c r="C16" i="8"/>
  <c r="C17" i="8"/>
  <c r="C18" i="8"/>
  <c r="C19" i="8"/>
  <c r="C20" i="8"/>
  <c r="C21" i="8"/>
  <c r="C22" i="8"/>
  <c r="C23" i="8"/>
  <c r="C24" i="8"/>
  <c r="C25" i="8"/>
  <c r="C26" i="8"/>
  <c r="C27" i="8"/>
  <c r="C28" i="8"/>
  <c r="C29" i="8"/>
  <c r="K14" i="8"/>
  <c r="K15" i="8"/>
  <c r="K16" i="8"/>
  <c r="K17" i="8"/>
  <c r="K18" i="8"/>
  <c r="K19" i="8"/>
  <c r="K20" i="8"/>
  <c r="K21" i="8"/>
  <c r="K22" i="8"/>
  <c r="K23" i="8"/>
  <c r="K24" i="8"/>
  <c r="K25" i="8"/>
  <c r="K26" i="8"/>
  <c r="K27" i="8"/>
  <c r="K28" i="8"/>
  <c r="K29" i="8"/>
  <c r="S14" i="8"/>
  <c r="S15" i="8"/>
  <c r="S16" i="8"/>
  <c r="S17" i="8"/>
  <c r="S18" i="8"/>
  <c r="S19" i="8"/>
  <c r="S20" i="8"/>
  <c r="U29" i="8"/>
  <c r="D10" i="8"/>
  <c r="C2" i="8"/>
  <c r="F51" i="8"/>
  <c r="G51" i="8"/>
  <c r="D52" i="8"/>
  <c r="E52" i="8"/>
  <c r="F52" i="8"/>
  <c r="G52" i="8"/>
  <c r="D50" i="8"/>
  <c r="E50" i="8"/>
  <c r="F50" i="8"/>
  <c r="G50" i="8"/>
  <c r="E51" i="8"/>
  <c r="T34" i="8"/>
  <c r="U34" i="8"/>
  <c r="T35" i="8"/>
  <c r="U35" i="8"/>
  <c r="T36" i="8"/>
  <c r="U36" i="8"/>
  <c r="T37" i="8"/>
  <c r="U37" i="8"/>
  <c r="T38" i="8"/>
  <c r="U38" i="8"/>
  <c r="T39" i="8"/>
  <c r="U39" i="8"/>
  <c r="T40" i="8"/>
  <c r="U40" i="8"/>
  <c r="T41" i="8"/>
  <c r="U41" i="8"/>
  <c r="T42" i="8"/>
  <c r="U42" i="8"/>
  <c r="U33" i="8"/>
  <c r="T33" i="8"/>
  <c r="L34" i="8"/>
  <c r="M34" i="8"/>
  <c r="L35" i="8"/>
  <c r="M35" i="8"/>
  <c r="L36" i="8"/>
  <c r="M36" i="8"/>
  <c r="L37" i="8"/>
  <c r="M37" i="8"/>
  <c r="L38" i="8"/>
  <c r="M38" i="8"/>
  <c r="L39" i="8"/>
  <c r="M39" i="8"/>
  <c r="L40" i="8"/>
  <c r="M40" i="8"/>
  <c r="L41" i="8"/>
  <c r="M41" i="8"/>
  <c r="L42" i="8"/>
  <c r="M42" i="8"/>
  <c r="M33" i="8"/>
  <c r="L33" i="8"/>
  <c r="D34" i="8"/>
  <c r="E34" i="8"/>
  <c r="D35" i="8"/>
  <c r="E35" i="8"/>
  <c r="D36" i="8"/>
  <c r="E36" i="8"/>
  <c r="D37" i="8"/>
  <c r="E37" i="8"/>
  <c r="D38" i="8"/>
  <c r="E38" i="8"/>
  <c r="D39" i="8"/>
  <c r="E39" i="8"/>
  <c r="D40" i="8"/>
  <c r="E40" i="8"/>
  <c r="D41" i="8"/>
  <c r="E41" i="8"/>
  <c r="D42" i="8"/>
  <c r="E42" i="8"/>
  <c r="E33" i="8"/>
  <c r="D33" i="8"/>
  <c r="T15" i="8"/>
  <c r="U15" i="8"/>
  <c r="T16" i="8"/>
  <c r="U16" i="8"/>
  <c r="T17" i="8"/>
  <c r="U17" i="8"/>
  <c r="T18" i="8"/>
  <c r="U18" i="8"/>
  <c r="T19" i="8"/>
  <c r="U19" i="8"/>
  <c r="U14" i="8"/>
  <c r="T14" i="8"/>
  <c r="L15" i="8"/>
  <c r="M15" i="8"/>
  <c r="L16" i="8"/>
  <c r="M16" i="8"/>
  <c r="L17" i="8"/>
  <c r="M17" i="8"/>
  <c r="L18" i="8"/>
  <c r="M18" i="8"/>
  <c r="L19" i="8"/>
  <c r="M19" i="8"/>
  <c r="L20" i="8"/>
  <c r="M20" i="8"/>
  <c r="L21" i="8"/>
  <c r="M21" i="8"/>
  <c r="L22" i="8"/>
  <c r="M22" i="8"/>
  <c r="L23" i="8"/>
  <c r="M23" i="8"/>
  <c r="L24" i="8"/>
  <c r="M24" i="8"/>
  <c r="L25" i="8"/>
  <c r="M25" i="8"/>
  <c r="L26" i="8"/>
  <c r="M26" i="8"/>
  <c r="L27" i="8"/>
  <c r="M27" i="8"/>
  <c r="L28" i="8"/>
  <c r="M28" i="8"/>
  <c r="M14" i="8"/>
  <c r="L14" i="8"/>
  <c r="E15" i="8"/>
  <c r="E17" i="8"/>
  <c r="E18" i="8"/>
  <c r="E19" i="8"/>
  <c r="E20" i="8"/>
  <c r="E21" i="8"/>
  <c r="E22" i="8"/>
  <c r="E23" i="8"/>
  <c r="E24" i="8"/>
  <c r="E25" i="8"/>
  <c r="E26" i="8"/>
  <c r="E27" i="8"/>
  <c r="E28" i="8"/>
  <c r="E14" i="8"/>
  <c r="D15" i="8"/>
  <c r="D16" i="8"/>
  <c r="D17" i="8"/>
  <c r="D18" i="8"/>
  <c r="D19" i="8"/>
  <c r="D20" i="8"/>
  <c r="D21" i="8"/>
  <c r="D22" i="8"/>
  <c r="D23" i="8"/>
  <c r="D24" i="8"/>
  <c r="D25" i="8"/>
  <c r="D26" i="8"/>
  <c r="D27" i="8"/>
  <c r="D28" i="8"/>
  <c r="L50" i="8"/>
  <c r="M50" i="8"/>
  <c r="N50" i="8"/>
  <c r="O50" i="8"/>
  <c r="N51" i="8"/>
  <c r="O51" i="8"/>
  <c r="N52" i="8"/>
  <c r="O52" i="8"/>
  <c r="N53" i="8"/>
  <c r="O53" i="8"/>
  <c r="L54" i="8"/>
  <c r="M54" i="8"/>
  <c r="N54" i="8"/>
  <c r="O54" i="8"/>
  <c r="O55" i="8"/>
  <c r="D9" i="8"/>
  <c r="D8" i="8"/>
  <c r="Y14" i="8"/>
  <c r="Z14" i="8"/>
  <c r="Y15" i="8"/>
  <c r="Z15" i="8"/>
  <c r="Y16" i="8"/>
  <c r="Z16" i="8"/>
  <c r="Y17" i="8"/>
  <c r="Z17" i="8"/>
  <c r="Y18" i="8"/>
  <c r="Z18" i="8"/>
  <c r="Y19" i="8"/>
  <c r="Z19" i="8"/>
  <c r="Z20" i="8"/>
  <c r="D5" i="8"/>
  <c r="D4" i="8"/>
  <c r="Y20" i="8"/>
  <c r="X15" i="8"/>
  <c r="X16" i="8"/>
  <c r="X17" i="8"/>
  <c r="X18" i="8"/>
  <c r="X19" i="8"/>
  <c r="S63" i="8"/>
  <c r="S62" i="8"/>
  <c r="S60" i="8"/>
  <c r="L48" i="8"/>
  <c r="S51" i="8"/>
  <c r="T51" i="8"/>
  <c r="S52" i="8"/>
  <c r="T52" i="8"/>
  <c r="S53" i="8"/>
  <c r="T53" i="8"/>
  <c r="T50" i="8"/>
  <c r="S50" i="8"/>
  <c r="L51" i="8"/>
  <c r="M51" i="8"/>
  <c r="L52" i="8"/>
  <c r="M52" i="8"/>
  <c r="L53" i="8"/>
  <c r="M53" i="8"/>
  <c r="D7" i="8"/>
  <c r="D6" i="8"/>
  <c r="D12" i="8"/>
  <c r="U12" i="8"/>
  <c r="L12" i="8"/>
  <c r="D51" i="8"/>
  <c r="G53" i="8"/>
  <c r="H51" i="8"/>
  <c r="H52" i="8"/>
  <c r="H50" i="8"/>
  <c r="X14" i="8"/>
  <c r="F14" i="8"/>
  <c r="G14" i="8"/>
  <c r="F15" i="8"/>
  <c r="G15" i="8"/>
  <c r="F16" i="8"/>
  <c r="G16" i="8"/>
  <c r="F17" i="8"/>
  <c r="G17" i="8"/>
  <c r="F18" i="8"/>
  <c r="G18" i="8"/>
  <c r="F19" i="8"/>
  <c r="G19" i="8"/>
  <c r="F20" i="8"/>
  <c r="G20" i="8"/>
  <c r="F21" i="8"/>
  <c r="G21" i="8"/>
  <c r="F22" i="8"/>
  <c r="G22" i="8"/>
  <c r="F23" i="8"/>
  <c r="G23" i="8"/>
  <c r="F24" i="8"/>
  <c r="G24" i="8"/>
  <c r="F25" i="8"/>
  <c r="G25" i="8"/>
  <c r="F26" i="8"/>
  <c r="G26" i="8"/>
  <c r="F27" i="8"/>
  <c r="G27" i="8"/>
  <c r="F28" i="8"/>
  <c r="G28" i="8"/>
  <c r="G29" i="8"/>
  <c r="N14" i="8"/>
  <c r="O14" i="8"/>
  <c r="N15" i="8"/>
  <c r="O15" i="8"/>
  <c r="N16" i="8"/>
  <c r="O16" i="8"/>
  <c r="N17" i="8"/>
  <c r="O17" i="8"/>
  <c r="N18" i="8"/>
  <c r="O18" i="8"/>
  <c r="N19" i="8"/>
  <c r="O19" i="8"/>
  <c r="N20" i="8"/>
  <c r="O20" i="8"/>
  <c r="N21" i="8"/>
  <c r="O21" i="8"/>
  <c r="N22" i="8"/>
  <c r="O22" i="8"/>
  <c r="N23" i="8"/>
  <c r="O23" i="8"/>
  <c r="N24" i="8"/>
  <c r="O24" i="8"/>
  <c r="N25" i="8"/>
  <c r="O25" i="8"/>
  <c r="N26" i="8"/>
  <c r="O26" i="8"/>
  <c r="N27" i="8"/>
  <c r="O27" i="8"/>
  <c r="N28" i="8"/>
  <c r="O28" i="8"/>
  <c r="O29" i="8"/>
  <c r="V14" i="8"/>
  <c r="W14" i="8"/>
  <c r="V15" i="8"/>
  <c r="W15" i="8"/>
  <c r="V16" i="8"/>
  <c r="W16" i="8"/>
  <c r="V17" i="8"/>
  <c r="W17" i="8"/>
  <c r="V18" i="8"/>
  <c r="W18" i="8"/>
  <c r="V19" i="8"/>
  <c r="W19" i="8"/>
  <c r="W20" i="8"/>
  <c r="F33" i="8"/>
  <c r="G33" i="8"/>
  <c r="F34" i="8"/>
  <c r="G34" i="8"/>
  <c r="F35" i="8"/>
  <c r="G35" i="8"/>
  <c r="F36" i="8"/>
  <c r="G36" i="8"/>
  <c r="F37" i="8"/>
  <c r="G37" i="8"/>
  <c r="F38" i="8"/>
  <c r="G38" i="8"/>
  <c r="F39" i="8"/>
  <c r="G39" i="8"/>
  <c r="F40" i="8"/>
  <c r="G40" i="8"/>
  <c r="F41" i="8"/>
  <c r="G41" i="8"/>
  <c r="F42" i="8"/>
  <c r="G42" i="8"/>
  <c r="G43" i="8"/>
  <c r="N33" i="8"/>
  <c r="O33" i="8"/>
  <c r="N34" i="8"/>
  <c r="O34" i="8"/>
  <c r="N35" i="8"/>
  <c r="O35" i="8"/>
  <c r="N36" i="8"/>
  <c r="O36" i="8"/>
  <c r="N37" i="8"/>
  <c r="O37" i="8"/>
  <c r="N38" i="8"/>
  <c r="O38" i="8"/>
  <c r="N39" i="8"/>
  <c r="O39" i="8"/>
  <c r="N40" i="8"/>
  <c r="O40" i="8"/>
  <c r="N41" i="8"/>
  <c r="O41" i="8"/>
  <c r="N42" i="8"/>
  <c r="O42" i="8"/>
  <c r="O43" i="8"/>
  <c r="V33" i="8"/>
  <c r="W33" i="8"/>
  <c r="V34" i="8"/>
  <c r="W34" i="8"/>
  <c r="V35" i="8"/>
  <c r="W35" i="8"/>
  <c r="V36" i="8"/>
  <c r="W36" i="8"/>
  <c r="V37" i="8"/>
  <c r="W37" i="8"/>
  <c r="V38" i="8"/>
  <c r="W38" i="8"/>
  <c r="V39" i="8"/>
  <c r="W39" i="8"/>
  <c r="V40" i="8"/>
  <c r="W40" i="8"/>
  <c r="V41" i="8"/>
  <c r="W41" i="8"/>
  <c r="V42" i="8"/>
  <c r="W42" i="8"/>
  <c r="W43" i="8"/>
  <c r="W46" i="8"/>
  <c r="B70" i="16"/>
  <c r="B64" i="16"/>
  <c r="B15" i="16"/>
  <c r="B49" i="16"/>
  <c r="B18" i="16"/>
  <c r="B17" i="16"/>
  <c r="B14" i="16"/>
  <c r="B13" i="16"/>
  <c r="B12" i="16"/>
  <c r="S52" i="21"/>
  <c r="C43" i="20"/>
  <c r="K39" i="20"/>
  <c r="AQ31" i="19"/>
  <c r="AQ32" i="19"/>
  <c r="AT31" i="19"/>
  <c r="AT32" i="19"/>
  <c r="B3" i="16"/>
  <c r="C45" i="20"/>
  <c r="AV31" i="19"/>
  <c r="AV32" i="19"/>
  <c r="AR39" i="19"/>
  <c r="AS31" i="19"/>
  <c r="AS32" i="19"/>
  <c r="AW31" i="19"/>
  <c r="AW32" i="19"/>
  <c r="AU31" i="19"/>
  <c r="AU32" i="19"/>
  <c r="AQ39" i="19"/>
  <c r="AR31" i="19"/>
  <c r="AR32" i="19"/>
  <c r="AR37" i="19"/>
  <c r="B82" i="16"/>
  <c r="AX31" i="19"/>
  <c r="AX32" i="19"/>
  <c r="B81" i="16"/>
  <c r="B4" i="16"/>
  <c r="B5" i="16"/>
  <c r="B7" i="16"/>
  <c r="B6" i="16"/>
  <c r="L39" i="20"/>
  <c r="AR35" i="19"/>
  <c r="AR36" i="19"/>
  <c r="AQ38" i="19"/>
  <c r="AQ35" i="19"/>
  <c r="AQ36" i="19"/>
  <c r="AQ37" i="19"/>
  <c r="AR38" i="19"/>
  <c r="N39" i="20"/>
  <c r="O39" i="20"/>
</calcChain>
</file>

<file path=xl/sharedStrings.xml><?xml version="1.0" encoding="utf-8"?>
<sst xmlns="http://schemas.openxmlformats.org/spreadsheetml/2006/main" count="1201" uniqueCount="642">
  <si>
    <t>M2 - 2 1/4"</t>
    <phoneticPr fontId="20" type="noConversion"/>
  </si>
  <si>
    <t>Doors</t>
    <phoneticPr fontId="20" type="noConversion"/>
  </si>
  <si>
    <t>Pot/Pan fronts</t>
    <phoneticPr fontId="20" type="noConversion"/>
  </si>
  <si>
    <t>5 PIECE DRAWER FRONTS</t>
    <phoneticPr fontId="20" type="noConversion"/>
  </si>
  <si>
    <t>POT &amp; PAN DRAWER FRONTS</t>
    <phoneticPr fontId="20" type="noConversion"/>
  </si>
  <si>
    <t>doors</t>
    <phoneticPr fontId="20" type="noConversion"/>
  </si>
  <si>
    <t>5pc</t>
    <phoneticPr fontId="20" type="noConversion"/>
  </si>
  <si>
    <t>po&amp;pan</t>
    <phoneticPr fontId="20" type="noConversion"/>
  </si>
  <si>
    <t>row #</t>
    <phoneticPr fontId="20" type="noConversion"/>
  </si>
  <si>
    <t>row #</t>
    <phoneticPr fontId="20" type="noConversion"/>
  </si>
  <si>
    <t>Stile / Rail:   Doors</t>
    <phoneticPr fontId="20" type="noConversion"/>
  </si>
  <si>
    <t>5 Pc Dwft</t>
    <phoneticPr fontId="20" type="noConversion"/>
  </si>
  <si>
    <t>Pot&amp;Pan</t>
    <phoneticPr fontId="20" type="noConversion"/>
  </si>
  <si>
    <t>M1</t>
  </si>
  <si>
    <t>M2</t>
  </si>
  <si>
    <t>M3</t>
  </si>
  <si>
    <t>M4</t>
  </si>
  <si>
    <t>M5</t>
  </si>
  <si>
    <t>M6</t>
  </si>
  <si>
    <t>M7</t>
  </si>
  <si>
    <t>M8</t>
  </si>
  <si>
    <t>M9</t>
  </si>
  <si>
    <t>M10</t>
  </si>
  <si>
    <t>M11</t>
  </si>
  <si>
    <t>EL</t>
  </si>
  <si>
    <t>DE</t>
  </si>
  <si>
    <t>M1</t>
    <phoneticPr fontId="20" type="noConversion"/>
  </si>
  <si>
    <t>M2</t>
    <phoneticPr fontId="20" type="noConversion"/>
  </si>
  <si>
    <t>M3</t>
    <phoneticPr fontId="20" type="noConversion"/>
  </si>
  <si>
    <t>M4</t>
    <phoneticPr fontId="20" type="noConversion"/>
  </si>
  <si>
    <t>M5</t>
    <phoneticPr fontId="20" type="noConversion"/>
  </si>
  <si>
    <t>M6</t>
    <phoneticPr fontId="20" type="noConversion"/>
  </si>
  <si>
    <t>M7</t>
    <phoneticPr fontId="20" type="noConversion"/>
  </si>
  <si>
    <t>M8</t>
    <phoneticPr fontId="20" type="noConversion"/>
  </si>
  <si>
    <t>M9</t>
    <phoneticPr fontId="20" type="noConversion"/>
  </si>
  <si>
    <t>M10</t>
    <phoneticPr fontId="20" type="noConversion"/>
  </si>
  <si>
    <t>M11</t>
    <phoneticPr fontId="20" type="noConversion"/>
  </si>
  <si>
    <t>EL</t>
    <phoneticPr fontId="20" type="noConversion"/>
  </si>
  <si>
    <t>stile\rail</t>
  </si>
  <si>
    <t>edge</t>
  </si>
  <si>
    <t>panel</t>
  </si>
  <si>
    <t>moulding</t>
  </si>
  <si>
    <t>lites</t>
  </si>
  <si>
    <t>shade</t>
  </si>
  <si>
    <t>pkname</t>
  </si>
  <si>
    <t>railsize</t>
  </si>
  <si>
    <t>stilesize</t>
  </si>
  <si>
    <t>Upper Door</t>
  </si>
  <si>
    <t>Base Door</t>
  </si>
  <si>
    <t>Drawer Front</t>
  </si>
  <si>
    <t>Pot &amp; Pan Drawer</t>
  </si>
  <si>
    <t>Valances</t>
  </si>
  <si>
    <t>panelwidth</t>
  </si>
  <si>
    <t>panellength</t>
  </si>
  <si>
    <t>SR18</t>
    <phoneticPr fontId="20" type="noConversion"/>
  </si>
  <si>
    <t>SR19</t>
    <phoneticPr fontId="20" type="noConversion"/>
  </si>
  <si>
    <t>SR20</t>
    <phoneticPr fontId="20" type="noConversion"/>
  </si>
  <si>
    <t>Panel Profile:</t>
  </si>
  <si>
    <t>Stile / Rail:</t>
  </si>
  <si>
    <t>Thickness</t>
    <phoneticPr fontId="20" type="noConversion"/>
  </si>
  <si>
    <t>5/8"</t>
    <phoneticPr fontId="20" type="noConversion"/>
  </si>
  <si>
    <t>P8</t>
    <phoneticPr fontId="20" type="noConversion"/>
  </si>
  <si>
    <t>P10</t>
    <phoneticPr fontId="20" type="noConversion"/>
  </si>
  <si>
    <t>Panels</t>
    <phoneticPr fontId="20" type="noConversion"/>
  </si>
  <si>
    <t>panels vs species</t>
    <phoneticPr fontId="20" type="noConversion"/>
  </si>
  <si>
    <t>notes</t>
  </si>
  <si>
    <t>Description</t>
    <phoneticPr fontId="20" type="noConversion"/>
  </si>
  <si>
    <t>M11 - 2 1/4"</t>
    <phoneticPr fontId="20" type="noConversion"/>
  </si>
  <si>
    <t>Height</t>
    <phoneticPr fontId="20" type="noConversion"/>
  </si>
  <si>
    <t>Edge</t>
    <phoneticPr fontId="20" type="noConversion"/>
  </si>
  <si>
    <t>MS</t>
    <phoneticPr fontId="20" type="noConversion"/>
  </si>
  <si>
    <t>H</t>
    <phoneticPr fontId="20" type="noConversion"/>
  </si>
  <si>
    <t>W</t>
    <phoneticPr fontId="20" type="noConversion"/>
  </si>
  <si>
    <t>H</t>
    <phoneticPr fontId="20" type="noConversion"/>
  </si>
  <si>
    <t xml:space="preserve"> </t>
    <phoneticPr fontId="20" type="noConversion"/>
  </si>
  <si>
    <t>M7 - 2 7/8"</t>
    <phoneticPr fontId="20" type="noConversion"/>
  </si>
  <si>
    <t>2 7/8"</t>
    <phoneticPr fontId="20" type="noConversion"/>
  </si>
  <si>
    <t>1 3/4"</t>
    <phoneticPr fontId="20" type="noConversion"/>
  </si>
  <si>
    <t># lites</t>
    <phoneticPr fontId="20" type="noConversion"/>
  </si>
  <si>
    <t>Maple</t>
    <phoneticPr fontId="20" type="noConversion"/>
  </si>
  <si>
    <t>Oak</t>
    <phoneticPr fontId="20" type="noConversion"/>
  </si>
  <si>
    <t>Cherry</t>
    <phoneticPr fontId="20" type="noConversion"/>
  </si>
  <si>
    <t>Mouldings</t>
    <phoneticPr fontId="20" type="noConversion"/>
  </si>
  <si>
    <t>PP04 Crown</t>
    <phoneticPr fontId="20" type="noConversion"/>
  </si>
  <si>
    <t>Minimums based on chosen selections</t>
    <phoneticPr fontId="20" type="noConversion"/>
  </si>
  <si>
    <t>to METRIC SIZES</t>
    <phoneticPr fontId="20" type="noConversion"/>
  </si>
  <si>
    <t>WOOD DOOR ORDER FORM</t>
    <phoneticPr fontId="20" type="noConversion"/>
  </si>
  <si>
    <t>style vs panel</t>
    <phoneticPr fontId="20" type="noConversion"/>
  </si>
  <si>
    <t>SR11 - 2 1/4"</t>
  </si>
  <si>
    <t>SR12 - 3"</t>
  </si>
  <si>
    <t>SR10 - 3 1/2"</t>
  </si>
  <si>
    <t>SR13 - 2 1/4"</t>
  </si>
  <si>
    <t>SR14 - 3"</t>
  </si>
  <si>
    <t>SR15 - 2 3/4"</t>
  </si>
  <si>
    <t>SR17 - 3 3/8"</t>
  </si>
  <si>
    <t>Design</t>
  </si>
  <si>
    <t>Species</t>
  </si>
  <si>
    <t>E4 - 1/4" BEVEL</t>
  </si>
  <si>
    <t>E5 - 1/8" BEVEL</t>
  </si>
  <si>
    <t>E6 - 1/4" RADIUS</t>
  </si>
  <si>
    <t>Requested Ship Date</t>
  </si>
  <si>
    <t>Current selections</t>
    <phoneticPr fontId="20" type="noConversion"/>
  </si>
  <si>
    <t>DE</t>
    <phoneticPr fontId="20" type="noConversion"/>
  </si>
  <si>
    <t>Mitred drawer front rail</t>
    <phoneticPr fontId="20" type="noConversion"/>
  </si>
  <si>
    <t>Mitred door rail</t>
    <phoneticPr fontId="20" type="noConversion"/>
  </si>
  <si>
    <t>mitred door vs d5 rail</t>
    <phoneticPr fontId="20" type="noConversion"/>
  </si>
  <si>
    <t>mitred door vs pp rail</t>
    <phoneticPr fontId="20" type="noConversion"/>
  </si>
  <si>
    <t>Reduced</t>
    <phoneticPr fontId="20" type="noConversion"/>
  </si>
  <si>
    <t>Full</t>
    <phoneticPr fontId="20" type="noConversion"/>
  </si>
  <si>
    <t>M&amp;T fronts rail size:</t>
    <phoneticPr fontId="20" type="noConversion"/>
  </si>
  <si>
    <t>Full</t>
    <phoneticPr fontId="20" type="noConversion"/>
  </si>
  <si>
    <t>Description</t>
    <phoneticPr fontId="20" type="noConversion"/>
  </si>
  <si>
    <t>shts</t>
    <phoneticPr fontId="20" type="noConversion"/>
  </si>
  <si>
    <t>gbls</t>
    <phoneticPr fontId="20" type="noConversion"/>
  </si>
  <si>
    <t>Cayenne</t>
    <phoneticPr fontId="20" type="noConversion"/>
  </si>
  <si>
    <t>Sq. Ft Per Front</t>
    <phoneticPr fontId="0" type="noConversion"/>
  </si>
  <si>
    <t>Sq. Ft Per Piece</t>
    <phoneticPr fontId="0" type="noConversion"/>
  </si>
  <si>
    <t>(2.5 sq. ft. minimum per piece)</t>
    <phoneticPr fontId="0" type="noConversion"/>
  </si>
  <si>
    <t>Type</t>
    <phoneticPr fontId="0" type="noConversion"/>
  </si>
  <si>
    <t>4 x 8 veneer</t>
    <phoneticPr fontId="20" type="noConversion"/>
  </si>
  <si>
    <t>4 x 8 1/4" ply</t>
    <phoneticPr fontId="20" type="noConversion"/>
  </si>
  <si>
    <t>VALIDITY of sizes (1=valid, -1=too small)</t>
    <phoneticPr fontId="20" type="noConversion"/>
  </si>
  <si>
    <t>P2</t>
    <phoneticPr fontId="20" type="noConversion"/>
  </si>
  <si>
    <t>P3</t>
    <phoneticPr fontId="20" type="noConversion"/>
  </si>
  <si>
    <t>P4</t>
    <phoneticPr fontId="20" type="noConversion"/>
  </si>
  <si>
    <t>Rail</t>
    <phoneticPr fontId="20" type="noConversion"/>
  </si>
  <si>
    <t>Rail</t>
    <phoneticPr fontId="20" type="noConversion"/>
  </si>
  <si>
    <t>MIN</t>
    <phoneticPr fontId="20" type="noConversion"/>
  </si>
  <si>
    <t>N/A</t>
    <phoneticPr fontId="20" type="noConversion"/>
  </si>
  <si>
    <t>frame only</t>
    <phoneticPr fontId="20" type="noConversion"/>
  </si>
  <si>
    <t>mldg</t>
    <phoneticPr fontId="20" type="noConversion"/>
  </si>
  <si>
    <t>E12</t>
  </si>
  <si>
    <t>P1</t>
  </si>
  <si>
    <t>P2</t>
  </si>
  <si>
    <t>P3</t>
  </si>
  <si>
    <t>P5</t>
  </si>
  <si>
    <t>P8</t>
  </si>
  <si>
    <t>P9</t>
  </si>
  <si>
    <t>GABLE PANELS</t>
    <phoneticPr fontId="20" type="noConversion"/>
  </si>
  <si>
    <t>Imperial Min</t>
    <phoneticPr fontId="20" type="noConversion"/>
  </si>
  <si>
    <t>Arch/cath</t>
    <phoneticPr fontId="20" type="noConversion"/>
  </si>
  <si>
    <t>2 1/4"</t>
    <phoneticPr fontId="20" type="noConversion"/>
  </si>
  <si>
    <t>2 3/4"</t>
    <phoneticPr fontId="20" type="noConversion"/>
  </si>
  <si>
    <t>3"</t>
    <phoneticPr fontId="20" type="noConversion"/>
  </si>
  <si>
    <t>3 3/8"</t>
    <phoneticPr fontId="20" type="noConversion"/>
  </si>
  <si>
    <t>3 1/2"</t>
    <phoneticPr fontId="20" type="noConversion"/>
  </si>
  <si>
    <t>2 1/4"</t>
    <phoneticPr fontId="20" type="noConversion"/>
  </si>
  <si>
    <t>2 1/4 x 3/8"</t>
    <phoneticPr fontId="20" type="noConversion"/>
  </si>
  <si>
    <t>Sanding</t>
    <phoneticPr fontId="20" type="noConversion"/>
  </si>
  <si>
    <t>Left</t>
    <phoneticPr fontId="20" type="noConversion"/>
  </si>
  <si>
    <t>Right</t>
    <phoneticPr fontId="20" type="noConversion"/>
  </si>
  <si>
    <t>Design upper/base</t>
    <phoneticPr fontId="20" type="noConversion"/>
  </si>
  <si>
    <t>style v design-upper</t>
    <phoneticPr fontId="20" type="noConversion"/>
  </si>
  <si>
    <t>This sheet contains all of the selection lists for the order form. Above each list are named cells containing the current user selection from the list plus associated values for table lookups.</t>
    <phoneticPr fontId="20" type="noConversion"/>
  </si>
  <si>
    <t>M2 - 2 1/4"</t>
  </si>
  <si>
    <t>P0 - 1/4"</t>
    <phoneticPr fontId="20" type="noConversion"/>
  </si>
  <si>
    <t>P10 - 3/8"</t>
    <phoneticPr fontId="20" type="noConversion"/>
  </si>
  <si>
    <t>M3 - 1 3/4"</t>
    <phoneticPr fontId="20" type="noConversion"/>
  </si>
  <si>
    <t>M6 - 1 3/4"</t>
    <phoneticPr fontId="20" type="noConversion"/>
  </si>
  <si>
    <t>M9 - 1 3/4"</t>
    <phoneticPr fontId="20" type="noConversion"/>
  </si>
  <si>
    <t>Style:</t>
  </si>
  <si>
    <t>Width</t>
  </si>
  <si>
    <t>Height</t>
  </si>
  <si>
    <t>Rails Length</t>
  </si>
  <si>
    <t>Shoulder Face</t>
  </si>
  <si>
    <t>Panel Width</t>
  </si>
  <si>
    <t>Panel Length</t>
  </si>
  <si>
    <t>(Panel Grain Vertical)</t>
  </si>
  <si>
    <t>Edge Profile:</t>
  </si>
  <si>
    <t>Drill:</t>
  </si>
  <si>
    <t>Stile 
Length</t>
  </si>
  <si>
    <t>Design:</t>
  </si>
  <si>
    <t>DWFT</t>
  </si>
  <si>
    <t>Upper</t>
  </si>
  <si>
    <t>Base</t>
  </si>
  <si>
    <t>5 PC</t>
  </si>
  <si>
    <t>Pot &amp; Pan</t>
  </si>
  <si>
    <t>Slab</t>
  </si>
  <si>
    <t xml:space="preserve">Neither Nubold nor the dealer are responsible for damages to goods incurred during shipping. </t>
    <phoneticPr fontId="20" type="noConversion"/>
  </si>
  <si>
    <t>Prov/State</t>
    <phoneticPr fontId="20" type="noConversion"/>
  </si>
  <si>
    <t>Postal/zip</t>
    <phoneticPr fontId="20" type="noConversion"/>
  </si>
  <si>
    <t>NOTES</t>
    <phoneticPr fontId="20" type="noConversion"/>
  </si>
  <si>
    <t>click on field then select</t>
    <phoneticPr fontId="20" type="noConversion"/>
  </si>
  <si>
    <t xml:space="preserve"> option from drop down list</t>
    <phoneticPr fontId="20" type="noConversion"/>
  </si>
  <si>
    <t>width</t>
  </si>
  <si>
    <t>height</t>
  </si>
  <si>
    <t>drilling</t>
  </si>
  <si>
    <t>doorseq</t>
  </si>
  <si>
    <t>Shkr</t>
    <phoneticPr fontId="20" type="noConversion"/>
  </si>
  <si>
    <t>Shk V</t>
    <phoneticPr fontId="20" type="noConversion"/>
  </si>
  <si>
    <t>Stiles/Rails</t>
    <phoneticPr fontId="20" type="noConversion"/>
  </si>
  <si>
    <t>SR1</t>
    <phoneticPr fontId="20" type="noConversion"/>
  </si>
  <si>
    <t>SR2</t>
    <phoneticPr fontId="20" type="noConversion"/>
  </si>
  <si>
    <t>SR3</t>
    <phoneticPr fontId="20" type="noConversion"/>
  </si>
  <si>
    <t>SR7</t>
    <phoneticPr fontId="20" type="noConversion"/>
  </si>
  <si>
    <t>SR4</t>
    <phoneticPr fontId="20" type="noConversion"/>
  </si>
  <si>
    <t>SR5</t>
    <phoneticPr fontId="20" type="noConversion"/>
  </si>
  <si>
    <t>SR6</t>
    <phoneticPr fontId="20" type="noConversion"/>
  </si>
  <si>
    <t>SR8</t>
    <phoneticPr fontId="20" type="noConversion"/>
  </si>
  <si>
    <t>SR9</t>
    <phoneticPr fontId="20" type="noConversion"/>
  </si>
  <si>
    <t>TOTAL SQ. FT. DOORS &amp; DRAWER FRONTS</t>
    <phoneticPr fontId="0" type="noConversion"/>
  </si>
  <si>
    <t>Type</t>
    <phoneticPr fontId="0" type="noConversion"/>
  </si>
  <si>
    <t>M1 - 2 7/8"</t>
    <phoneticPr fontId="20" type="noConversion"/>
  </si>
  <si>
    <t>M4 - 2 7/8"</t>
    <phoneticPr fontId="20" type="noConversion"/>
  </si>
  <si>
    <t>M10 - 2 7/8"</t>
    <phoneticPr fontId="20" type="noConversion"/>
  </si>
  <si>
    <t>Panels</t>
    <phoneticPr fontId="20" type="noConversion"/>
  </si>
  <si>
    <t>P11</t>
    <phoneticPr fontId="20" type="noConversion"/>
  </si>
  <si>
    <t>P0</t>
    <phoneticPr fontId="20" type="noConversion"/>
  </si>
  <si>
    <t>Edges</t>
    <phoneticPr fontId="20" type="noConversion"/>
  </si>
  <si>
    <t>POT &amp; PAN</t>
    <phoneticPr fontId="20" type="noConversion"/>
  </si>
  <si>
    <t>Qty</t>
    <phoneticPr fontId="20" type="noConversion"/>
  </si>
  <si>
    <t>Width</t>
    <phoneticPr fontId="20" type="noConversion"/>
  </si>
  <si>
    <t>Height</t>
    <phoneticPr fontId="20" type="noConversion"/>
  </si>
  <si>
    <t>Style</t>
    <phoneticPr fontId="20" type="noConversion"/>
  </si>
  <si>
    <t>Species</t>
    <phoneticPr fontId="20" type="noConversion"/>
  </si>
  <si>
    <t>Qty</t>
    <phoneticPr fontId="20" type="noConversion"/>
  </si>
  <si>
    <t>Width</t>
    <phoneticPr fontId="20" type="noConversion"/>
  </si>
  <si>
    <t>Height</t>
    <phoneticPr fontId="20" type="noConversion"/>
  </si>
  <si>
    <t>MOULDINGS</t>
    <phoneticPr fontId="20" type="noConversion"/>
  </si>
  <si>
    <t>Species</t>
    <phoneticPr fontId="20" type="noConversion"/>
  </si>
  <si>
    <t>Qty</t>
    <phoneticPr fontId="20" type="noConversion"/>
  </si>
  <si>
    <t>Stile Length</t>
    <phoneticPr fontId="20" type="noConversion"/>
  </si>
  <si>
    <t>row #</t>
    <phoneticPr fontId="20" type="noConversion"/>
  </si>
  <si>
    <t>AP10</t>
    <phoneticPr fontId="20" type="noConversion"/>
  </si>
  <si>
    <t>AP20</t>
    <phoneticPr fontId="20" type="noConversion"/>
  </si>
  <si>
    <t>AP30</t>
    <phoneticPr fontId="20" type="noConversion"/>
  </si>
  <si>
    <t>AP40</t>
    <phoneticPr fontId="20" type="noConversion"/>
  </si>
  <si>
    <t>Glass Doors</t>
    <phoneticPr fontId="20" type="noConversion"/>
  </si>
  <si>
    <t>4 lites</t>
    <phoneticPr fontId="20" type="noConversion"/>
  </si>
  <si>
    <t>6 lites</t>
    <phoneticPr fontId="20" type="noConversion"/>
  </si>
  <si>
    <t>8 lites</t>
    <phoneticPr fontId="20" type="noConversion"/>
  </si>
  <si>
    <t>9 lites</t>
    <phoneticPr fontId="20" type="noConversion"/>
  </si>
  <si>
    <t>5100 Single Light Valance</t>
    <phoneticPr fontId="20" type="noConversion"/>
  </si>
  <si>
    <t>116 Outside 90° Corner</t>
    <phoneticPr fontId="20" type="noConversion"/>
  </si>
  <si>
    <t>398 Cove</t>
    <phoneticPr fontId="20" type="noConversion"/>
  </si>
  <si>
    <t>Upper doors</t>
    <phoneticPr fontId="20" type="noConversion"/>
  </si>
  <si>
    <t>Frame &amp; mullion doors</t>
    <phoneticPr fontId="20" type="noConversion"/>
  </si>
  <si>
    <t>KIT01 Shaker Crown</t>
    <phoneticPr fontId="20" type="noConversion"/>
  </si>
  <si>
    <t>DRAWER FRONTS</t>
    <phoneticPr fontId="20" type="noConversion"/>
  </si>
  <si>
    <t>Design</t>
    <phoneticPr fontId="20" type="noConversion"/>
  </si>
  <si>
    <t>Design</t>
    <phoneticPr fontId="20" type="noConversion"/>
  </si>
  <si>
    <t>5 PIECE</t>
    <phoneticPr fontId="20" type="noConversion"/>
  </si>
  <si>
    <t>Drill</t>
    <phoneticPr fontId="20" type="noConversion"/>
  </si>
  <si>
    <t>Qty</t>
    <phoneticPr fontId="20" type="noConversion"/>
  </si>
  <si>
    <t>Width</t>
    <phoneticPr fontId="20" type="noConversion"/>
  </si>
  <si>
    <t>Height</t>
    <phoneticPr fontId="20" type="noConversion"/>
  </si>
  <si>
    <t>DRAWER FRONTS</t>
    <phoneticPr fontId="20" type="noConversion"/>
  </si>
  <si>
    <t>SLAB</t>
    <phoneticPr fontId="20" type="noConversion"/>
  </si>
  <si>
    <t>Qty</t>
    <phoneticPr fontId="20" type="noConversion"/>
  </si>
  <si>
    <t>Width</t>
    <phoneticPr fontId="20" type="noConversion"/>
  </si>
  <si>
    <t>5 piece drawer fronts</t>
    <phoneticPr fontId="20" type="noConversion"/>
  </si>
  <si>
    <t>Shkr</t>
    <phoneticPr fontId="20" type="noConversion"/>
  </si>
  <si>
    <t>ShkV</t>
    <phoneticPr fontId="20" type="noConversion"/>
  </si>
  <si>
    <t>MP</t>
    <phoneticPr fontId="20" type="noConversion"/>
  </si>
  <si>
    <t>MS</t>
    <phoneticPr fontId="20" type="noConversion"/>
  </si>
  <si>
    <t>SR1</t>
    <phoneticPr fontId="20" type="noConversion"/>
  </si>
  <si>
    <t>SR2</t>
    <phoneticPr fontId="20" type="noConversion"/>
  </si>
  <si>
    <t>SR3</t>
    <phoneticPr fontId="20" type="noConversion"/>
  </si>
  <si>
    <t>SR4</t>
    <phoneticPr fontId="20" type="noConversion"/>
  </si>
  <si>
    <t>SR5</t>
    <phoneticPr fontId="20" type="noConversion"/>
  </si>
  <si>
    <t>SR7</t>
    <phoneticPr fontId="20" type="noConversion"/>
  </si>
  <si>
    <t>SR9</t>
    <phoneticPr fontId="20" type="noConversion"/>
  </si>
  <si>
    <t>E1</t>
  </si>
  <si>
    <t>E2</t>
  </si>
  <si>
    <t>E3</t>
  </si>
  <si>
    <t>E7</t>
  </si>
  <si>
    <t>E8</t>
  </si>
  <si>
    <t>E10</t>
  </si>
  <si>
    <t>E11</t>
  </si>
  <si>
    <t>100 Square</t>
    <phoneticPr fontId="20" type="noConversion"/>
  </si>
  <si>
    <t>200 Cathedral top</t>
    <phoneticPr fontId="20" type="noConversion"/>
  </si>
  <si>
    <t>List Name &amp; Values</t>
    <phoneticPr fontId="20" type="noConversion"/>
  </si>
  <si>
    <t>Style</t>
    <phoneticPr fontId="20" type="noConversion"/>
  </si>
  <si>
    <t>TOTALS</t>
    <phoneticPr fontId="20" type="noConversion"/>
  </si>
  <si>
    <t>SHEETS</t>
    <phoneticPr fontId="20" type="noConversion"/>
  </si>
  <si>
    <t>MOULDINGS</t>
    <phoneticPr fontId="20" type="noConversion"/>
  </si>
  <si>
    <t>Height</t>
    <phoneticPr fontId="20" type="noConversion"/>
  </si>
  <si>
    <t>Width</t>
    <phoneticPr fontId="20" type="noConversion"/>
  </si>
  <si>
    <t>Style</t>
    <phoneticPr fontId="20" type="noConversion"/>
  </si>
  <si>
    <t># lites</t>
    <phoneticPr fontId="20" type="noConversion"/>
  </si>
  <si>
    <t>SLAB</t>
    <phoneticPr fontId="20" type="noConversion"/>
  </si>
  <si>
    <t>(1.5 sq. ft. minimum per piece)</t>
    <phoneticPr fontId="0" type="noConversion"/>
  </si>
  <si>
    <t>Style</t>
    <phoneticPr fontId="0" type="noConversion"/>
  </si>
  <si>
    <t>SR20 - 2 1/4" Shaker (for P10)</t>
    <phoneticPr fontId="20" type="noConversion"/>
  </si>
  <si>
    <t>SR3 - 2 1/4" Shaker V 1/4"</t>
    <phoneticPr fontId="20" type="noConversion"/>
  </si>
  <si>
    <t>SR6 - 3" Shaker V 1/4"</t>
    <phoneticPr fontId="20" type="noConversion"/>
  </si>
  <si>
    <t>SR7 - 2 1/4" Shaker V 1/8"</t>
    <phoneticPr fontId="20" type="noConversion"/>
  </si>
  <si>
    <t>SR8 - 3" Shaker V 1/8"</t>
    <phoneticPr fontId="20" type="noConversion"/>
  </si>
  <si>
    <t>4' x 8' x 1/4" plywood</t>
    <phoneticPr fontId="20" type="noConversion"/>
  </si>
  <si>
    <t>Finishes</t>
    <phoneticPr fontId="20" type="noConversion"/>
  </si>
  <si>
    <t>Unfinished</t>
    <phoneticPr fontId="20" type="noConversion"/>
  </si>
  <si>
    <t>Honey</t>
    <phoneticPr fontId="20" type="noConversion"/>
  </si>
  <si>
    <t>Fillers</t>
    <phoneticPr fontId="0" type="noConversion"/>
  </si>
  <si>
    <t>P5</t>
    <phoneticPr fontId="20" type="noConversion"/>
  </si>
  <si>
    <t>Kicks</t>
    <phoneticPr fontId="0" type="noConversion"/>
  </si>
  <si>
    <t>300 Dbl cathedral</t>
    <phoneticPr fontId="20" type="noConversion"/>
  </si>
  <si>
    <t>400 Arch top</t>
    <phoneticPr fontId="20" type="noConversion"/>
  </si>
  <si>
    <t>500 Dbl arch</t>
    <phoneticPr fontId="20" type="noConversion"/>
  </si>
  <si>
    <t>Shaker</t>
    <phoneticPr fontId="20" type="noConversion"/>
  </si>
  <si>
    <t>Stile/rail</t>
    <phoneticPr fontId="20" type="noConversion"/>
  </si>
  <si>
    <t>+</t>
    <phoneticPr fontId="20" type="noConversion"/>
  </si>
  <si>
    <t>FRAME &amp; MULLION DOORS</t>
    <phoneticPr fontId="20" type="noConversion"/>
  </si>
  <si>
    <t>Design</t>
    <phoneticPr fontId="20" type="noConversion"/>
  </si>
  <si>
    <t>Drill</t>
    <phoneticPr fontId="20" type="noConversion"/>
  </si>
  <si>
    <t>Qty</t>
    <phoneticPr fontId="20" type="noConversion"/>
  </si>
  <si>
    <t>Width</t>
    <phoneticPr fontId="20" type="noConversion"/>
  </si>
  <si>
    <t>Height</t>
    <phoneticPr fontId="20" type="noConversion"/>
  </si>
  <si>
    <t># lites</t>
    <phoneticPr fontId="20" type="noConversion"/>
  </si>
  <si>
    <t>DRAWER FRONTS</t>
    <phoneticPr fontId="20" type="noConversion"/>
  </si>
  <si>
    <t>VALANCES</t>
    <phoneticPr fontId="20" type="noConversion"/>
  </si>
  <si>
    <t>P7</t>
    <phoneticPr fontId="20" type="noConversion"/>
  </si>
  <si>
    <t>P8</t>
    <phoneticPr fontId="20" type="noConversion"/>
  </si>
  <si>
    <t>P9</t>
    <phoneticPr fontId="20" type="noConversion"/>
  </si>
  <si>
    <t>P10</t>
    <phoneticPr fontId="20" type="noConversion"/>
  </si>
  <si>
    <t>P11</t>
    <phoneticPr fontId="20" type="noConversion"/>
  </si>
  <si>
    <t>Panels</t>
    <phoneticPr fontId="20" type="noConversion"/>
  </si>
  <si>
    <t>E1</t>
    <phoneticPr fontId="20" type="noConversion"/>
  </si>
  <si>
    <t>E2</t>
    <phoneticPr fontId="20" type="noConversion"/>
  </si>
  <si>
    <t>E3</t>
    <phoneticPr fontId="20" type="noConversion"/>
  </si>
  <si>
    <t>E4</t>
    <phoneticPr fontId="20" type="noConversion"/>
  </si>
  <si>
    <t>Styles</t>
    <phoneticPr fontId="20" type="noConversion"/>
  </si>
  <si>
    <t>2 3/4 x 3/8"</t>
    <phoneticPr fontId="20" type="noConversion"/>
  </si>
  <si>
    <t>3"</t>
    <phoneticPr fontId="20" type="noConversion"/>
  </si>
  <si>
    <t>2 7/8"</t>
    <phoneticPr fontId="20" type="noConversion"/>
  </si>
  <si>
    <t>S</t>
    <phoneticPr fontId="20" type="noConversion"/>
  </si>
  <si>
    <t>Shaker</t>
    <phoneticPr fontId="20" type="noConversion"/>
  </si>
  <si>
    <t>MP</t>
    <phoneticPr fontId="20" type="noConversion"/>
  </si>
  <si>
    <t>Frame &amp; Mullion</t>
  </si>
  <si>
    <t>Pot and Pan Fronts</t>
  </si>
  <si>
    <t>style v design-base</t>
    <phoneticPr fontId="20" type="noConversion"/>
  </si>
  <si>
    <t>UPPER DOORS</t>
    <phoneticPr fontId="20" type="noConversion"/>
  </si>
  <si>
    <t>BASE DOORS</t>
    <phoneticPr fontId="20" type="noConversion"/>
  </si>
  <si>
    <t>DF pot/pan</t>
  </si>
  <si>
    <t>DF 5pc</t>
  </si>
  <si>
    <t>DF slab</t>
  </si>
  <si>
    <t>Sheets</t>
  </si>
  <si>
    <t>E13</t>
    <phoneticPr fontId="20" type="noConversion"/>
  </si>
  <si>
    <t>DRAWER FRONTS</t>
    <phoneticPr fontId="20" type="noConversion"/>
  </si>
  <si>
    <t>UPPER DOORS</t>
    <phoneticPr fontId="20" type="noConversion"/>
  </si>
  <si>
    <t>QTY</t>
  </si>
  <si>
    <t>TOTAL</t>
  </si>
  <si>
    <t>Upper Doors</t>
  </si>
  <si>
    <t>Base Doors</t>
  </si>
  <si>
    <t>ORDER TOTAL</t>
  </si>
  <si>
    <t>Dealer:</t>
  </si>
  <si>
    <t>Job No.:</t>
  </si>
  <si>
    <t>Tagname:</t>
  </si>
  <si>
    <t>Drill right</t>
    <phoneticPr fontId="18" type="noConversion"/>
  </si>
  <si>
    <t>plus increase for P11</t>
    <phoneticPr fontId="20" type="noConversion"/>
  </si>
  <si>
    <t>3154 Double Shoe</t>
    <phoneticPr fontId="20" type="noConversion"/>
  </si>
  <si>
    <t>4' x 8' veneer with poly backer</t>
    <phoneticPr fontId="20" type="noConversion"/>
  </si>
  <si>
    <t>E5</t>
    <phoneticPr fontId="20" type="noConversion"/>
  </si>
  <si>
    <t>E6</t>
    <phoneticPr fontId="20" type="noConversion"/>
  </si>
  <si>
    <t>E7</t>
    <phoneticPr fontId="20" type="noConversion"/>
  </si>
  <si>
    <t>style v species</t>
    <phoneticPr fontId="20" type="noConversion"/>
  </si>
  <si>
    <t>style vs S/R</t>
    <phoneticPr fontId="20" type="noConversion"/>
  </si>
  <si>
    <t>(Panel Grain Horizontal)</t>
  </si>
  <si>
    <t>Species:</t>
  </si>
  <si>
    <t>Drawerfronts - 5 Piece</t>
  </si>
  <si>
    <t>Drawerfronts - Slab</t>
  </si>
  <si>
    <t>Stiles</t>
  </si>
  <si>
    <t>Rails</t>
  </si>
  <si>
    <t>Valance</t>
  </si>
  <si>
    <t>E9 - 1/8" RADIUS</t>
  </si>
  <si>
    <t>door #</t>
  </si>
  <si>
    <t>dealer Name</t>
  </si>
  <si>
    <t xml:space="preserve">order number </t>
  </si>
  <si>
    <t>quantity</t>
  </si>
  <si>
    <t>tag/po #</t>
  </si>
  <si>
    <t>door type</t>
  </si>
  <si>
    <t>style</t>
  </si>
  <si>
    <t>colour</t>
  </si>
  <si>
    <t>bir+</t>
    <phoneticPr fontId="20" type="noConversion"/>
  </si>
  <si>
    <t>paint</t>
    <phoneticPr fontId="20" type="noConversion"/>
  </si>
  <si>
    <t>MDF</t>
    <phoneticPr fontId="20" type="noConversion"/>
  </si>
  <si>
    <t>Designs</t>
    <phoneticPr fontId="20" type="noConversion"/>
  </si>
  <si>
    <t>Oak - Select</t>
    <phoneticPr fontId="20" type="noConversion"/>
  </si>
  <si>
    <t>Oak - Select Plus</t>
    <phoneticPr fontId="20" type="noConversion"/>
  </si>
  <si>
    <t>Cherry - Select</t>
    <phoneticPr fontId="20" type="noConversion"/>
  </si>
  <si>
    <t>Cherry - Select Plus</t>
    <phoneticPr fontId="20" type="noConversion"/>
  </si>
  <si>
    <t>Knotty Pine</t>
    <phoneticPr fontId="20" type="noConversion"/>
  </si>
  <si>
    <t>to IMPERIAL</t>
    <phoneticPr fontId="20" type="noConversion"/>
  </si>
  <si>
    <t>Conversion factor from order form sheet input</t>
    <phoneticPr fontId="20" type="noConversion"/>
  </si>
  <si>
    <t>minimum size restriction, etc.</t>
    <phoneticPr fontId="20" type="noConversion"/>
  </si>
  <si>
    <t>Frame doors</t>
  </si>
  <si>
    <t>Gable Panels</t>
    <phoneticPr fontId="0" type="noConversion"/>
  </si>
  <si>
    <t>Mouldings</t>
    <phoneticPr fontId="0" type="noConversion"/>
  </si>
  <si>
    <t>Frame&amp;Mullion</t>
    <phoneticPr fontId="0" type="noConversion"/>
  </si>
  <si>
    <t>Group</t>
    <phoneticPr fontId="20" type="noConversion"/>
  </si>
  <si>
    <t>R</t>
    <phoneticPr fontId="20" type="noConversion"/>
  </si>
  <si>
    <t>E13 - Dbl Bevel</t>
    <phoneticPr fontId="20" type="noConversion"/>
  </si>
  <si>
    <t>Applied Mldg</t>
    <phoneticPr fontId="20" type="noConversion"/>
  </si>
  <si>
    <t>Metric Min</t>
    <phoneticPr fontId="20" type="noConversion"/>
  </si>
  <si>
    <t>MAX</t>
    <phoneticPr fontId="20" type="noConversion"/>
  </si>
  <si>
    <t>115 Outside 45° Corner</t>
    <phoneticPr fontId="20" type="noConversion"/>
  </si>
  <si>
    <t>Valances</t>
    <phoneticPr fontId="20" type="noConversion"/>
  </si>
  <si>
    <t>Plain</t>
    <phoneticPr fontId="20" type="noConversion"/>
  </si>
  <si>
    <t>Scalloped</t>
    <phoneticPr fontId="20" type="noConversion"/>
  </si>
  <si>
    <t>Roman Arch</t>
    <phoneticPr fontId="20" type="noConversion"/>
  </si>
  <si>
    <t>Mldg Species</t>
    <phoneticPr fontId="20" type="noConversion"/>
  </si>
  <si>
    <t>Panel Length</t>
    <phoneticPr fontId="20" type="noConversion"/>
  </si>
  <si>
    <t>SHAKER WS</t>
    <phoneticPr fontId="20" type="noConversion"/>
  </si>
  <si>
    <t>Rail Length</t>
    <phoneticPr fontId="20" type="noConversion"/>
  </si>
  <si>
    <t>Shoulder Face</t>
    <phoneticPr fontId="20" type="noConversion"/>
  </si>
  <si>
    <t>Panel Width</t>
    <phoneticPr fontId="20" type="noConversion"/>
  </si>
  <si>
    <t>REQUIRED FIELD</t>
    <phoneticPr fontId="20" type="noConversion"/>
  </si>
  <si>
    <t>WARNING</t>
    <phoneticPr fontId="20" type="noConversion"/>
  </si>
  <si>
    <t>Sanding</t>
    <phoneticPr fontId="20" type="noConversion"/>
  </si>
  <si>
    <t>Standard sanding</t>
    <phoneticPr fontId="20" type="noConversion"/>
  </si>
  <si>
    <t>Sanding plus</t>
    <phoneticPr fontId="20" type="noConversion"/>
  </si>
  <si>
    <t>Finishing</t>
    <phoneticPr fontId="20" type="noConversion"/>
  </si>
  <si>
    <t>Left</t>
    <phoneticPr fontId="20" type="noConversion"/>
  </si>
  <si>
    <t>Right</t>
    <phoneticPr fontId="20" type="noConversion"/>
  </si>
  <si>
    <t>Panel Width</t>
    <phoneticPr fontId="20" type="noConversion"/>
  </si>
  <si>
    <t>Drilling</t>
    <phoneticPr fontId="20" type="noConversion"/>
  </si>
  <si>
    <t>Base doors</t>
    <phoneticPr fontId="20" type="noConversion"/>
  </si>
  <si>
    <t>Pot &amp; Pan drawers</t>
    <phoneticPr fontId="20" type="noConversion"/>
  </si>
  <si>
    <t>Order date</t>
    <phoneticPr fontId="20" type="noConversion"/>
  </si>
  <si>
    <t>Job #</t>
    <phoneticPr fontId="20" type="noConversion"/>
  </si>
  <si>
    <t>M3</t>
    <phoneticPr fontId="20" type="noConversion"/>
  </si>
  <si>
    <t>M4</t>
    <phoneticPr fontId="20" type="noConversion"/>
  </si>
  <si>
    <t>M5</t>
    <phoneticPr fontId="20" type="noConversion"/>
  </si>
  <si>
    <t>M6</t>
    <phoneticPr fontId="20" type="noConversion"/>
  </si>
  <si>
    <t>M7</t>
    <phoneticPr fontId="20" type="noConversion"/>
  </si>
  <si>
    <t>M8</t>
    <phoneticPr fontId="20" type="noConversion"/>
  </si>
  <si>
    <t>M9</t>
    <phoneticPr fontId="20" type="noConversion"/>
  </si>
  <si>
    <t>M10</t>
    <phoneticPr fontId="20" type="noConversion"/>
  </si>
  <si>
    <t>M11</t>
    <phoneticPr fontId="20" type="noConversion"/>
  </si>
  <si>
    <t>P</t>
    <phoneticPr fontId="20" type="noConversion"/>
  </si>
  <si>
    <t>S</t>
    <phoneticPr fontId="20" type="noConversion"/>
  </si>
  <si>
    <r>
      <t>NOTE 1:</t>
    </r>
    <r>
      <rPr>
        <sz val="10"/>
        <rFont val="Arial"/>
      </rPr>
      <t xml:space="preserve"> All lists and tables are named for use on other sheets. Any modifications made to size of lists or tables requires the corresponding modification to their names.</t>
    </r>
  </si>
  <si>
    <t>Job #:</t>
    <phoneticPr fontId="0" type="noConversion"/>
  </si>
  <si>
    <t>Sanding:</t>
    <phoneticPr fontId="0" type="noConversion"/>
  </si>
  <si>
    <t>Finishing:</t>
    <phoneticPr fontId="0" type="noConversion"/>
  </si>
  <si>
    <t>Applied Mldng:</t>
    <phoneticPr fontId="0" type="noConversion"/>
  </si>
  <si>
    <t>Drilling:</t>
    <phoneticPr fontId="0" type="noConversion"/>
  </si>
  <si>
    <t>(1.5 sq. ft. minimum per piece)</t>
    <phoneticPr fontId="0" type="noConversion"/>
  </si>
  <si>
    <t>(1.0 sq. ft. minimum per piece)</t>
    <phoneticPr fontId="0" type="noConversion"/>
  </si>
  <si>
    <t>SR10</t>
    <phoneticPr fontId="20" type="noConversion"/>
  </si>
  <si>
    <t>SR15</t>
    <phoneticPr fontId="20" type="noConversion"/>
  </si>
  <si>
    <t>SR18</t>
    <phoneticPr fontId="20" type="noConversion"/>
  </si>
  <si>
    <t>M1</t>
    <phoneticPr fontId="20" type="noConversion"/>
  </si>
  <si>
    <t>Standard drilling</t>
    <phoneticPr fontId="20" type="noConversion"/>
  </si>
  <si>
    <t>schedule</t>
  </si>
  <si>
    <t>grade</t>
  </si>
  <si>
    <t>SR9 - 2 1/4"</t>
  </si>
  <si>
    <t>SR1 - 2 1/4"</t>
  </si>
  <si>
    <t>SR4 - 3"</t>
  </si>
  <si>
    <t>S/R vs panels</t>
    <phoneticPr fontId="20" type="noConversion"/>
  </si>
  <si>
    <t>S/R vs edges</t>
    <phoneticPr fontId="20" type="noConversion"/>
  </si>
  <si>
    <t>S/R vs A/M</t>
    <phoneticPr fontId="20" type="noConversion"/>
  </si>
  <si>
    <t>finish vs species</t>
    <phoneticPr fontId="20" type="noConversion"/>
  </si>
  <si>
    <t># of lites</t>
    <phoneticPr fontId="0" type="noConversion"/>
  </si>
  <si>
    <t>P Series</t>
    <phoneticPr fontId="20" type="noConversion"/>
  </si>
  <si>
    <t>S Series</t>
    <phoneticPr fontId="20" type="noConversion"/>
  </si>
  <si>
    <t>MP Series</t>
    <phoneticPr fontId="20" type="noConversion"/>
  </si>
  <si>
    <t>MS Series</t>
    <phoneticPr fontId="20" type="noConversion"/>
  </si>
  <si>
    <t>Species</t>
    <phoneticPr fontId="20" type="noConversion"/>
  </si>
  <si>
    <t>MDF - rails,stiles,panel</t>
    <phoneticPr fontId="20" type="noConversion"/>
  </si>
  <si>
    <t>SR2 - 2 1/4" Shaker</t>
    <phoneticPr fontId="20" type="noConversion"/>
  </si>
  <si>
    <t>SR5 - 3" Shaker</t>
    <phoneticPr fontId="20" type="noConversion"/>
  </si>
  <si>
    <t>SR18 - 2 3/4" Shaker (for P10)</t>
    <phoneticPr fontId="20" type="noConversion"/>
  </si>
  <si>
    <t>SR16 - 2 3/4" Shaker V 1/8" (for P10)</t>
    <phoneticPr fontId="20" type="noConversion"/>
  </si>
  <si>
    <t>SR19 - 2 1/4" Shaker V 1/8" (for P10)</t>
    <phoneticPr fontId="20" type="noConversion"/>
  </si>
  <si>
    <t># Lites</t>
    <phoneticPr fontId="0" type="noConversion"/>
  </si>
  <si>
    <t>W</t>
    <phoneticPr fontId="20" type="noConversion"/>
  </si>
  <si>
    <t>P</t>
    <phoneticPr fontId="20" type="noConversion"/>
  </si>
  <si>
    <t>M2 - 2 1/4"</t>
    <phoneticPr fontId="20" type="noConversion"/>
  </si>
  <si>
    <t>M5 - 2 1/4"</t>
    <phoneticPr fontId="20" type="noConversion"/>
  </si>
  <si>
    <t>M8 - 2 1/4"</t>
    <phoneticPr fontId="20" type="noConversion"/>
  </si>
  <si>
    <t>P4</t>
  </si>
  <si>
    <t>P6</t>
  </si>
  <si>
    <t>P7</t>
  </si>
  <si>
    <t>S/R vs design-upper</t>
    <phoneticPr fontId="20" type="noConversion"/>
  </si>
  <si>
    <t>S/R vs design-base</t>
    <phoneticPr fontId="20" type="noConversion"/>
  </si>
  <si>
    <t>Series</t>
    <phoneticPr fontId="20" type="noConversion"/>
  </si>
  <si>
    <t>Rail</t>
    <phoneticPr fontId="20" type="noConversion"/>
  </si>
  <si>
    <t>P6</t>
    <phoneticPr fontId="20" type="noConversion"/>
  </si>
  <si>
    <t>This sheet contains the metric sizes of all pieces for use in creating cut lists, with a size check vailidty associated with each entry. The min sizes are contained in the size table at the right of this sheet.</t>
    <phoneticPr fontId="20" type="noConversion"/>
  </si>
  <si>
    <t>Requested Ship Date</t>
    <phoneticPr fontId="0" type="noConversion"/>
  </si>
  <si>
    <t>5 Pc Front</t>
    <phoneticPr fontId="18" type="noConversion"/>
  </si>
  <si>
    <t>Frame/Mullion</t>
    <phoneticPr fontId="18" type="noConversion"/>
  </si>
  <si>
    <t>M3</t>
    <phoneticPr fontId="20" type="noConversion"/>
  </si>
  <si>
    <t>M9</t>
    <phoneticPr fontId="20" type="noConversion"/>
  </si>
  <si>
    <t>Qty</t>
    <phoneticPr fontId="20" type="noConversion"/>
  </si>
  <si>
    <t>Upper doors</t>
  </si>
  <si>
    <t>Base doors</t>
  </si>
  <si>
    <t>BASE DOORS</t>
    <phoneticPr fontId="20" type="noConversion"/>
  </si>
  <si>
    <t>E8</t>
    <phoneticPr fontId="20" type="noConversion"/>
  </si>
  <si>
    <t>E9</t>
    <phoneticPr fontId="20" type="noConversion"/>
  </si>
  <si>
    <t>E10</t>
    <phoneticPr fontId="20" type="noConversion"/>
  </si>
  <si>
    <t>E11</t>
    <phoneticPr fontId="20" type="noConversion"/>
  </si>
  <si>
    <t>E12</t>
    <phoneticPr fontId="20" type="noConversion"/>
  </si>
  <si>
    <t>Hinges</t>
    <phoneticPr fontId="20" type="noConversion"/>
  </si>
  <si>
    <t>Details:</t>
    <phoneticPr fontId="20" type="noConversion"/>
  </si>
  <si>
    <t>SHIP TO</t>
    <phoneticPr fontId="20" type="noConversion"/>
  </si>
  <si>
    <t>Sanding</t>
    <phoneticPr fontId="20" type="noConversion"/>
  </si>
  <si>
    <t>Drill left</t>
    <phoneticPr fontId="18" type="noConversion"/>
  </si>
  <si>
    <t>oak+</t>
    <phoneticPr fontId="20" type="noConversion"/>
  </si>
  <si>
    <t>Phone</t>
    <phoneticPr fontId="20" type="noConversion"/>
  </si>
  <si>
    <t>Species</t>
    <phoneticPr fontId="20" type="noConversion"/>
  </si>
  <si>
    <t>Shaker V</t>
    <phoneticPr fontId="20" type="noConversion"/>
  </si>
  <si>
    <t>Shaker</t>
    <phoneticPr fontId="20" type="noConversion"/>
  </si>
  <si>
    <t>VALANCES</t>
    <phoneticPr fontId="20" type="noConversion"/>
  </si>
  <si>
    <t>FRAME &amp; MULLION DOORS</t>
    <phoneticPr fontId="20" type="noConversion"/>
  </si>
  <si>
    <t>Requested</t>
    <phoneticPr fontId="20" type="noConversion"/>
  </si>
  <si>
    <t>Ship Date</t>
    <phoneticPr fontId="20" type="noConversion"/>
  </si>
  <si>
    <t>Dealer</t>
    <phoneticPr fontId="20" type="noConversion"/>
  </si>
  <si>
    <t>PO# / Tag</t>
    <phoneticPr fontId="20" type="noConversion"/>
  </si>
  <si>
    <t>TOTAL # DOORS</t>
    <phoneticPr fontId="0" type="noConversion"/>
  </si>
  <si>
    <t>TOTAL # DRAWER FRONTS</t>
    <phoneticPr fontId="0" type="noConversion"/>
  </si>
  <si>
    <t>Applied Moulding:</t>
    <phoneticPr fontId="20" type="noConversion"/>
  </si>
  <si>
    <t>reserved for future use</t>
    <phoneticPr fontId="20" type="noConversion"/>
  </si>
  <si>
    <t xml:space="preserve"> GABLE PANELS</t>
    <phoneticPr fontId="20" type="noConversion"/>
  </si>
  <si>
    <t>Thick-ness</t>
    <phoneticPr fontId="0" type="noConversion"/>
  </si>
  <si>
    <t>Mouldings</t>
    <phoneticPr fontId="20" type="noConversion"/>
  </si>
  <si>
    <t xml:space="preserve"> invalid combination of options,</t>
    <phoneticPr fontId="20" type="noConversion"/>
  </si>
  <si>
    <t>S/R vs species</t>
    <phoneticPr fontId="20" type="noConversion"/>
  </si>
  <si>
    <t>Pot &amp; Pan Drawers</t>
  </si>
  <si>
    <t>Line</t>
  </si>
  <si>
    <t># of Pieces</t>
  </si>
  <si>
    <t>Sq. Ft Per Door</t>
  </si>
  <si>
    <t>Total Sq Ft</t>
  </si>
  <si>
    <t>SR10</t>
    <phoneticPr fontId="20" type="noConversion"/>
  </si>
  <si>
    <t>SR11</t>
    <phoneticPr fontId="20" type="noConversion"/>
  </si>
  <si>
    <t>SR12</t>
    <phoneticPr fontId="20" type="noConversion"/>
  </si>
  <si>
    <t>SR13</t>
    <phoneticPr fontId="20" type="noConversion"/>
  </si>
  <si>
    <t>SR14</t>
    <phoneticPr fontId="20" type="noConversion"/>
  </si>
  <si>
    <t>SR15</t>
    <phoneticPr fontId="20" type="noConversion"/>
  </si>
  <si>
    <t>SR16</t>
    <phoneticPr fontId="20" type="noConversion"/>
  </si>
  <si>
    <t>SR17</t>
    <phoneticPr fontId="20" type="noConversion"/>
  </si>
  <si>
    <t>Reduced</t>
    <phoneticPr fontId="20" type="noConversion"/>
  </si>
  <si>
    <t>Full</t>
    <phoneticPr fontId="20" type="noConversion"/>
  </si>
  <si>
    <t>Std DF</t>
    <phoneticPr fontId="20" type="noConversion"/>
  </si>
  <si>
    <t xml:space="preserve"> Std DF</t>
    <phoneticPr fontId="20" type="noConversion"/>
  </si>
  <si>
    <t>Square Door Pot &amp; Pan DF</t>
    <phoneticPr fontId="20" type="noConversion"/>
  </si>
  <si>
    <t>Mitred DF       2 1/4"</t>
  </si>
  <si>
    <t>Mitred DF       2 1/4"</t>
    <phoneticPr fontId="20" type="noConversion"/>
  </si>
  <si>
    <t>W</t>
    <phoneticPr fontId="20" type="noConversion"/>
  </si>
  <si>
    <t>H</t>
    <phoneticPr fontId="20" type="noConversion"/>
  </si>
  <si>
    <t>W</t>
    <phoneticPr fontId="20" type="noConversion"/>
  </si>
  <si>
    <t>H</t>
    <phoneticPr fontId="20" type="noConversion"/>
  </si>
  <si>
    <t>Gable Panels</t>
  </si>
  <si>
    <t>Frame &amp; Mullion Doors</t>
    <phoneticPr fontId="0" type="noConversion"/>
  </si>
  <si>
    <t>Birch - Select</t>
    <phoneticPr fontId="20" type="noConversion"/>
  </si>
  <si>
    <t>Birch - Select Plus</t>
    <phoneticPr fontId="20" type="noConversion"/>
  </si>
  <si>
    <t>SHAKER</t>
    <phoneticPr fontId="20" type="noConversion"/>
  </si>
  <si>
    <t>SHAKER</t>
    <phoneticPr fontId="20" type="noConversion"/>
  </si>
  <si>
    <t>WS</t>
    <phoneticPr fontId="20" type="noConversion"/>
  </si>
  <si>
    <t>SHAKER WS</t>
    <phoneticPr fontId="20" type="noConversion"/>
  </si>
  <si>
    <t>SHAKER WS</t>
    <phoneticPr fontId="20" type="noConversion"/>
  </si>
  <si>
    <t>WS</t>
    <phoneticPr fontId="20" type="noConversion"/>
  </si>
  <si>
    <t>This sheet contains validity tables for all of the combinations of user selections of styles, species, designs, etc. Value 0 = INVALID, 1 =  Valid. Lookups are done based on the names selection values from the lists sheet. Validity values are placed in named cells at the left of this sheet.</t>
    <phoneticPr fontId="20" type="noConversion"/>
  </si>
  <si>
    <t>Hard Maple - Select</t>
    <phoneticPr fontId="20" type="noConversion"/>
  </si>
  <si>
    <t>No drilling</t>
    <phoneticPr fontId="20" type="noConversion"/>
  </si>
  <si>
    <t>Panel</t>
    <phoneticPr fontId="20" type="noConversion"/>
  </si>
  <si>
    <t>City</t>
    <phoneticPr fontId="20" type="noConversion"/>
  </si>
  <si>
    <t>Drilling</t>
    <phoneticPr fontId="20" type="noConversion"/>
  </si>
  <si>
    <t>Stile/Rail</t>
    <phoneticPr fontId="20" type="noConversion"/>
  </si>
  <si>
    <t>Species</t>
    <phoneticPr fontId="20" type="noConversion"/>
  </si>
  <si>
    <t>Address</t>
    <phoneticPr fontId="20" type="noConversion"/>
  </si>
  <si>
    <t>Applied moulding</t>
    <phoneticPr fontId="20" type="noConversion"/>
  </si>
  <si>
    <t>Style</t>
    <phoneticPr fontId="20" type="noConversion"/>
  </si>
  <si>
    <t>Valance</t>
    <phoneticPr fontId="18" type="noConversion"/>
  </si>
  <si>
    <t>Gable Panel</t>
    <phoneticPr fontId="18" type="noConversion"/>
  </si>
  <si>
    <t>Gable</t>
    <phoneticPr fontId="18" type="noConversion"/>
  </si>
  <si>
    <t>M1</t>
    <phoneticPr fontId="20" type="noConversion"/>
  </si>
  <si>
    <t>M2</t>
    <phoneticPr fontId="20" type="noConversion"/>
  </si>
  <si>
    <t>Hard Maple - Select Plus</t>
    <phoneticPr fontId="20" type="noConversion"/>
  </si>
  <si>
    <t>Drill Qty</t>
    <phoneticPr fontId="20" type="noConversion"/>
  </si>
  <si>
    <t>Ginger</t>
    <phoneticPr fontId="20" type="noConversion"/>
  </si>
  <si>
    <t>Spice</t>
    <phoneticPr fontId="20" type="noConversion"/>
  </si>
  <si>
    <t>Cognac</t>
    <phoneticPr fontId="20" type="noConversion"/>
  </si>
  <si>
    <t>Espresso</t>
    <phoneticPr fontId="20" type="noConversion"/>
  </si>
  <si>
    <t>unfin</t>
    <phoneticPr fontId="20" type="noConversion"/>
  </si>
  <si>
    <t>honey</t>
    <phoneticPr fontId="20" type="noConversion"/>
  </si>
  <si>
    <r>
      <t>IMPERIAL</t>
    </r>
    <r>
      <rPr>
        <sz val="14"/>
        <rFont val="Arial"/>
        <family val="2"/>
      </rPr>
      <t xml:space="preserve"> - all measurements in inches</t>
    </r>
    <phoneticPr fontId="20" type="noConversion"/>
  </si>
  <si>
    <t>Paint Grade - MDF panel</t>
    <phoneticPr fontId="20" type="noConversion"/>
  </si>
  <si>
    <t>Edges</t>
    <phoneticPr fontId="20" type="noConversion"/>
  </si>
  <si>
    <t>AP10</t>
    <phoneticPr fontId="20" type="noConversion"/>
  </si>
  <si>
    <t>AP40</t>
    <phoneticPr fontId="20" type="noConversion"/>
  </si>
  <si>
    <t>Applied Mouldings</t>
    <phoneticPr fontId="20" type="noConversion"/>
  </si>
  <si>
    <t># Lites</t>
    <phoneticPr fontId="20" type="noConversion"/>
  </si>
  <si>
    <t>std</t>
    <phoneticPr fontId="20" type="noConversion"/>
  </si>
  <si>
    <t>Finish</t>
    <phoneticPr fontId="20" type="noConversion"/>
  </si>
  <si>
    <t>chy</t>
    <phoneticPr fontId="20" type="noConversion"/>
  </si>
  <si>
    <t>chy+</t>
    <phoneticPr fontId="20" type="noConversion"/>
  </si>
  <si>
    <t>pine</t>
    <phoneticPr fontId="20" type="noConversion"/>
  </si>
  <si>
    <t>bir</t>
    <phoneticPr fontId="20" type="noConversion"/>
  </si>
  <si>
    <t>DE</t>
    <phoneticPr fontId="20" type="noConversion"/>
  </si>
  <si>
    <t>EL - 2 7/8"</t>
    <phoneticPr fontId="20" type="noConversion"/>
  </si>
  <si>
    <t>DE - 2 1/4"</t>
    <phoneticPr fontId="20" type="noConversion"/>
  </si>
  <si>
    <t>EL</t>
    <phoneticPr fontId="20" type="noConversion"/>
  </si>
  <si>
    <t>Sanding:</t>
    <phoneticPr fontId="20" type="noConversion"/>
  </si>
  <si>
    <t>Species</t>
    <phoneticPr fontId="20" type="noConversion"/>
  </si>
  <si>
    <t>Design</t>
    <phoneticPr fontId="20" type="noConversion"/>
  </si>
  <si>
    <t>Species</t>
    <phoneticPr fontId="20" type="noConversion"/>
  </si>
  <si>
    <t>sanding vs species</t>
    <phoneticPr fontId="20" type="noConversion"/>
  </si>
  <si>
    <t>Panel Length</t>
    <phoneticPr fontId="20" type="noConversion"/>
  </si>
  <si>
    <t>5 pc drawer fronts</t>
    <phoneticPr fontId="20" type="noConversion"/>
  </si>
  <si>
    <t>For current selection</t>
    <phoneticPr fontId="20" type="noConversion"/>
  </si>
  <si>
    <t>F &amp; M</t>
    <phoneticPr fontId="20" type="noConversion"/>
  </si>
  <si>
    <t>design</t>
    <phoneticPr fontId="18" type="noConversion"/>
  </si>
  <si>
    <t>SLAB</t>
    <phoneticPr fontId="18" type="noConversion"/>
  </si>
  <si>
    <t>POT&amp;PAN</t>
    <phoneticPr fontId="18" type="noConversion"/>
  </si>
  <si>
    <t>df</t>
    <phoneticPr fontId="20" type="noConversion"/>
  </si>
  <si>
    <t>pp</t>
    <phoneticPr fontId="20" type="noConversion"/>
  </si>
  <si>
    <t>Mitred df option</t>
    <phoneticPr fontId="20" type="noConversion"/>
  </si>
  <si>
    <t>Mitred pp option</t>
    <phoneticPr fontId="20" type="noConversion"/>
  </si>
  <si>
    <t>Mitred pot &amp; pan front rail</t>
    <phoneticPr fontId="20" type="noConversion"/>
  </si>
  <si>
    <t>Custom drilling</t>
    <phoneticPr fontId="20" type="noConversion"/>
  </si>
  <si>
    <r>
      <t>NOTE:</t>
    </r>
    <r>
      <rPr>
        <sz val="10"/>
        <rFont val="Arial"/>
      </rPr>
      <t xml:space="preserve"> All lists and tables are named for use on other sheets. Any modifications made to size of lists or tables requires the corresponding modification to their names.</t>
    </r>
    <phoneticPr fontId="20" type="noConversion"/>
  </si>
  <si>
    <t>Enter minimums in imperial ONLY!</t>
    <phoneticPr fontId="20" type="noConversion"/>
  </si>
  <si>
    <r>
      <t xml:space="preserve">This table defines the </t>
    </r>
    <r>
      <rPr>
        <b/>
        <sz val="10"/>
        <rFont val="Arial"/>
        <family val="2"/>
      </rPr>
      <t>reductions</t>
    </r>
    <r>
      <rPr>
        <sz val="10"/>
        <rFont val="Arial"/>
      </rPr>
      <t xml:space="preserve"> from the door/front sizes for the cut lists based on selected stile/rail. Use METRIC ONLY!</t>
    </r>
    <phoneticPr fontId="20" type="noConversion"/>
  </si>
  <si>
    <t>M10</t>
    <phoneticPr fontId="20" type="noConversion"/>
  </si>
  <si>
    <t>P0</t>
    <phoneticPr fontId="20" type="noConversion"/>
  </si>
  <si>
    <t>P1</t>
    <phoneticPr fontId="20" type="noConversion"/>
  </si>
  <si>
    <t>P2</t>
    <phoneticPr fontId="20" type="noConversion"/>
  </si>
  <si>
    <t>P3</t>
    <phoneticPr fontId="20" type="noConversion"/>
  </si>
  <si>
    <t>P4</t>
    <phoneticPr fontId="20" type="noConversion"/>
  </si>
  <si>
    <t>P5</t>
    <phoneticPr fontId="20" type="noConversion"/>
  </si>
  <si>
    <t>ginger</t>
    <phoneticPr fontId="20" type="noConversion"/>
  </si>
  <si>
    <t>spice</t>
    <phoneticPr fontId="20" type="noConversion"/>
  </si>
  <si>
    <t>cayenne</t>
    <phoneticPr fontId="20" type="noConversion"/>
  </si>
  <si>
    <t>cognac</t>
    <phoneticPr fontId="20" type="noConversion"/>
  </si>
  <si>
    <t>espresso</t>
    <phoneticPr fontId="20" type="noConversion"/>
  </si>
  <si>
    <t># frames</t>
    <phoneticPr fontId="0" type="noConversion"/>
  </si>
  <si>
    <t>Sanding:</t>
    <phoneticPr fontId="0" type="noConversion"/>
  </si>
  <si>
    <t>Finish:</t>
    <phoneticPr fontId="0" type="noConversion"/>
  </si>
  <si>
    <t>Sheets</t>
    <phoneticPr fontId="0" type="noConversion"/>
  </si>
  <si>
    <t>EL</t>
    <phoneticPr fontId="20" type="noConversion"/>
  </si>
  <si>
    <t>mpl</t>
    <phoneticPr fontId="20" type="noConversion"/>
  </si>
  <si>
    <t>mpl+</t>
    <phoneticPr fontId="20" type="noConversion"/>
  </si>
  <si>
    <t>oak</t>
    <phoneticPr fontId="20" type="noConversion"/>
  </si>
  <si>
    <t>Standard sanding</t>
  </si>
  <si>
    <t>Unfinished</t>
  </si>
  <si>
    <t>Rev. 120516</t>
  </si>
  <si>
    <t>M1 - 2 7/8"</t>
  </si>
  <si>
    <t>Cabinetmart Inc</t>
  </si>
  <si>
    <t>Phone: (519) 679-1297 or 1-800-662-9488</t>
  </si>
  <si>
    <t>Fax: (519) 679/2410</t>
  </si>
  <si>
    <t>Email: info@cabinetmart.com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</si>
</sst>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16"/>
    <numFmt numFmtId="165" formatCode="0.000"/>
    <numFmt numFmtId="166" formatCode="0.0000"/>
    <numFmt numFmtId="167" formatCode="[$-409]d\-mmm\-yy;@"/>
  </numFmts>
  <fonts count="27" x14ac:knownFonts="1">
    <font>
      <sz val="10"/>
      <name val="Arial"/>
    </font>
    <font>
      <sz val="10"/>
      <name val="Arial"/>
    </font>
    <font>
      <sz val="10"/>
      <name val="Arial"/>
    </font>
    <font>
      <b/>
      <sz val="10"/>
      <name val="Arial"/>
      <family val="2"/>
    </font>
    <font>
      <sz val="11"/>
      <color indexed="9"/>
      <name val="Arial"/>
      <family val="2"/>
    </font>
    <font>
      <sz val="14"/>
      <name val="Arial"/>
      <family val="2"/>
    </font>
    <font>
      <sz val="12"/>
      <name val="Arial"/>
      <family val="2"/>
    </font>
    <font>
      <sz val="12"/>
      <color indexed="9"/>
      <name val="Arial"/>
      <family val="2"/>
    </font>
    <font>
      <sz val="10"/>
      <color indexed="9"/>
      <name val="Arial"/>
      <family val="2"/>
    </font>
    <font>
      <sz val="11"/>
      <name val="Arial"/>
      <family val="2"/>
    </font>
    <font>
      <sz val="16"/>
      <name val="Arial"/>
      <family val="2"/>
    </font>
    <font>
      <b/>
      <sz val="16"/>
      <name val="Arial"/>
      <family val="2"/>
    </font>
    <font>
      <b/>
      <sz val="12"/>
      <name val="Arial"/>
      <family val="2"/>
    </font>
    <font>
      <sz val="12"/>
      <name val="Arial"/>
      <family val="2"/>
    </font>
    <font>
      <b/>
      <sz val="12"/>
      <name val="Arial"/>
      <family val="2"/>
    </font>
    <font>
      <sz val="10"/>
      <name val="Arial"/>
    </font>
    <font>
      <sz val="12"/>
      <color indexed="9"/>
      <name val="Arial"/>
      <family val="2"/>
    </font>
    <font>
      <b/>
      <sz val="16"/>
      <color indexed="9"/>
      <name val="Arial"/>
      <family val="2"/>
    </font>
    <font>
      <sz val="8"/>
      <name val="Arial"/>
      <family val="2"/>
    </font>
    <font>
      <sz val="10"/>
      <color indexed="9"/>
      <name val="Arial"/>
      <family val="2"/>
    </font>
    <font>
      <sz val="8"/>
      <name val="Verdana"/>
    </font>
    <font>
      <sz val="14"/>
      <color indexed="9"/>
      <name val="Arial"/>
    </font>
    <font>
      <sz val="10"/>
      <name val="Arial"/>
    </font>
    <font>
      <sz val="9"/>
      <name val="Arial"/>
    </font>
    <font>
      <b/>
      <u/>
      <sz val="10"/>
      <name val="Arial"/>
    </font>
    <font>
      <b/>
      <sz val="14"/>
      <name val="Arial"/>
    </font>
    <font>
      <b/>
      <sz val="11"/>
      <name val="Arial"/>
    </font>
  </fonts>
  <fills count="15">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indexed="44"/>
        <bgColor indexed="64"/>
      </patternFill>
    </fill>
    <fill>
      <patternFill patternType="solid">
        <fgColor indexed="46"/>
        <bgColor indexed="64"/>
      </patternFill>
    </fill>
    <fill>
      <patternFill patternType="solid">
        <fgColor indexed="22"/>
        <bgColor indexed="64"/>
      </patternFill>
    </fill>
    <fill>
      <patternFill patternType="solid">
        <fgColor indexed="65"/>
        <bgColor indexed="8"/>
      </patternFill>
    </fill>
    <fill>
      <patternFill patternType="solid">
        <fgColor theme="9"/>
        <bgColor indexed="64"/>
      </patternFill>
    </fill>
    <fill>
      <patternFill patternType="solid">
        <fgColor rgb="FFFFFF99"/>
        <bgColor indexed="64"/>
      </patternFill>
    </fill>
  </fills>
  <borders count="6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diagonal/>
    </border>
    <border>
      <left style="medium">
        <color auto="1"/>
      </left>
      <right/>
      <top/>
      <bottom/>
      <diagonal/>
    </border>
    <border>
      <left style="medium">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55"/>
      </left>
      <right/>
      <top style="medium">
        <color indexed="55"/>
      </top>
      <bottom/>
      <diagonal/>
    </border>
    <border>
      <left/>
      <right/>
      <top style="medium">
        <color indexed="55"/>
      </top>
      <bottom/>
      <diagonal/>
    </border>
    <border>
      <left/>
      <right style="medium">
        <color indexed="55"/>
      </right>
      <top style="medium">
        <color indexed="55"/>
      </top>
      <bottom/>
      <diagonal/>
    </border>
    <border>
      <left style="medium">
        <color indexed="55"/>
      </left>
      <right/>
      <top/>
      <bottom/>
      <diagonal/>
    </border>
    <border>
      <left/>
      <right style="medium">
        <color indexed="55"/>
      </right>
      <top/>
      <bottom/>
      <diagonal/>
    </border>
    <border>
      <left style="medium">
        <color indexed="55"/>
      </left>
      <right/>
      <top/>
      <bottom style="medium">
        <color indexed="55"/>
      </bottom>
      <diagonal/>
    </border>
    <border>
      <left/>
      <right/>
      <top/>
      <bottom style="medium">
        <color indexed="55"/>
      </bottom>
      <diagonal/>
    </border>
    <border>
      <left/>
      <right style="medium">
        <color indexed="55"/>
      </right>
      <top/>
      <bottom style="medium">
        <color indexed="55"/>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right/>
      <top/>
      <bottom style="double">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s>
  <cellStyleXfs count="1">
    <xf numFmtId="0" fontId="0" fillId="0" borderId="0"/>
  </cellStyleXfs>
  <cellXfs count="639">
    <xf numFmtId="0" fontId="0" fillId="0" borderId="0" xfId="0"/>
    <xf numFmtId="0" fontId="2" fillId="0" borderId="0" xfId="0" applyFont="1"/>
    <xf numFmtId="0" fontId="0" fillId="0" borderId="0" xfId="0" applyBorder="1" applyProtection="1"/>
    <xf numFmtId="0" fontId="0" fillId="0" borderId="0" xfId="0" applyBorder="1"/>
    <xf numFmtId="0" fontId="3" fillId="0" borderId="0" xfId="0" applyFont="1" applyBorder="1" applyProtection="1"/>
    <xf numFmtId="0" fontId="0" fillId="0" borderId="0" xfId="0" applyBorder="1" applyAlignment="1" applyProtection="1">
      <alignment horizontal="center"/>
    </xf>
    <xf numFmtId="0" fontId="0" fillId="0" borderId="0" xfId="0" applyBorder="1" applyAlignment="1" applyProtection="1">
      <alignment horizontal="left"/>
    </xf>
    <xf numFmtId="2" fontId="0" fillId="0" borderId="0" xfId="0" applyNumberFormat="1" applyBorder="1" applyProtection="1"/>
    <xf numFmtId="0" fontId="10" fillId="0" borderId="0" xfId="0" applyFont="1"/>
    <xf numFmtId="0" fontId="11" fillId="0" borderId="0" xfId="0" applyFont="1" applyBorder="1" applyProtection="1"/>
    <xf numFmtId="0" fontId="10" fillId="0" borderId="10" xfId="0" applyFont="1" applyBorder="1" applyAlignment="1" applyProtection="1">
      <alignment horizontal="left"/>
    </xf>
    <xf numFmtId="0" fontId="10" fillId="0" borderId="0" xfId="0" applyFont="1" applyBorder="1"/>
    <xf numFmtId="0" fontId="10" fillId="0" borderId="10" xfId="0" applyFont="1" applyBorder="1"/>
    <xf numFmtId="0" fontId="11" fillId="0" borderId="10" xfId="0" applyFont="1" applyBorder="1"/>
    <xf numFmtId="1" fontId="10" fillId="0" borderId="1" xfId="0" applyNumberFormat="1" applyFont="1" applyBorder="1"/>
    <xf numFmtId="0" fontId="11" fillId="0" borderId="0" xfId="0" applyFont="1" applyBorder="1"/>
    <xf numFmtId="13" fontId="10" fillId="0" borderId="0" xfId="0" applyNumberFormat="1" applyFont="1" applyBorder="1"/>
    <xf numFmtId="0" fontId="0" fillId="0" borderId="0" xfId="0" applyAlignment="1">
      <alignment horizontal="center" wrapText="1"/>
    </xf>
    <xf numFmtId="13" fontId="0" fillId="0" borderId="0" xfId="0" applyNumberFormat="1"/>
    <xf numFmtId="2" fontId="0" fillId="0" borderId="0" xfId="0" applyNumberFormat="1"/>
    <xf numFmtId="0" fontId="0" fillId="0" borderId="0" xfId="0" applyAlignment="1">
      <alignment horizontal="right"/>
    </xf>
    <xf numFmtId="0" fontId="3" fillId="0" borderId="0" xfId="0" applyFont="1"/>
    <xf numFmtId="164" fontId="10" fillId="0" borderId="0" xfId="0" applyNumberFormat="1" applyFont="1" applyBorder="1"/>
    <xf numFmtId="1" fontId="10" fillId="0" borderId="0" xfId="0" applyNumberFormat="1" applyFont="1" applyBorder="1"/>
    <xf numFmtId="0" fontId="10" fillId="0" borderId="0" xfId="0" applyNumberFormat="1" applyFont="1" applyBorder="1"/>
    <xf numFmtId="0" fontId="10" fillId="0" borderId="10" xfId="0" applyNumberFormat="1" applyFont="1" applyBorder="1"/>
    <xf numFmtId="0" fontId="10" fillId="0" borderId="0" xfId="0" applyFont="1" applyAlignment="1">
      <alignment horizontal="center"/>
    </xf>
    <xf numFmtId="0" fontId="10" fillId="0" borderId="0" xfId="0" applyFont="1" applyBorder="1" applyAlignment="1">
      <alignment horizontal="center"/>
    </xf>
    <xf numFmtId="0" fontId="10" fillId="0" borderId="0" xfId="0" applyNumberFormat="1" applyFont="1" applyBorder="1" applyAlignment="1">
      <alignment horizontal="center"/>
    </xf>
    <xf numFmtId="0" fontId="10" fillId="0" borderId="0" xfId="0" applyNumberFormat="1" applyFont="1" applyAlignment="1">
      <alignment horizontal="center"/>
    </xf>
    <xf numFmtId="1" fontId="10" fillId="0" borderId="1" xfId="0" applyNumberFormat="1" applyFont="1" applyBorder="1" applyAlignment="1">
      <alignment horizontal="center"/>
    </xf>
    <xf numFmtId="13" fontId="10" fillId="0" borderId="3" xfId="0" applyNumberFormat="1" applyFont="1" applyBorder="1"/>
    <xf numFmtId="13" fontId="10" fillId="0" borderId="8" xfId="0" applyNumberFormat="1" applyFont="1" applyBorder="1"/>
    <xf numFmtId="0" fontId="10" fillId="0" borderId="0" xfId="0" applyFont="1" applyBorder="1" applyAlignment="1" applyProtection="1">
      <alignment horizontal="left"/>
    </xf>
    <xf numFmtId="0" fontId="10" fillId="0" borderId="8" xfId="0" applyFont="1" applyBorder="1"/>
    <xf numFmtId="0" fontId="10" fillId="0" borderId="0" xfId="0" applyNumberFormat="1" applyFont="1"/>
    <xf numFmtId="1" fontId="10" fillId="0" borderId="12" xfId="0" applyNumberFormat="1" applyFont="1" applyBorder="1"/>
    <xf numFmtId="1" fontId="13" fillId="0" borderId="0" xfId="0" applyNumberFormat="1" applyFont="1"/>
    <xf numFmtId="1" fontId="14" fillId="0" borderId="11" xfId="0" applyNumberFormat="1" applyFont="1" applyBorder="1"/>
    <xf numFmtId="1" fontId="13" fillId="0" borderId="10" xfId="0" applyNumberFormat="1" applyFont="1" applyBorder="1"/>
    <xf numFmtId="1" fontId="13" fillId="0" borderId="12" xfId="0" applyNumberFormat="1" applyFont="1" applyBorder="1"/>
    <xf numFmtId="1" fontId="13" fillId="0" borderId="0" xfId="0" applyNumberFormat="1" applyFont="1" applyBorder="1"/>
    <xf numFmtId="1" fontId="13" fillId="0" borderId="10" xfId="0" applyNumberFormat="1" applyFont="1" applyBorder="1" applyAlignment="1" applyProtection="1">
      <alignment horizontal="left"/>
    </xf>
    <xf numFmtId="1" fontId="14" fillId="0" borderId="11" xfId="0" applyNumberFormat="1" applyFont="1" applyBorder="1" applyProtection="1"/>
    <xf numFmtId="1" fontId="13" fillId="0" borderId="0" xfId="0" applyNumberFormat="1" applyFont="1" applyBorder="1" applyAlignment="1" applyProtection="1">
      <alignment horizontal="left"/>
    </xf>
    <xf numFmtId="1" fontId="13" fillId="0" borderId="0" xfId="0" applyNumberFormat="1" applyFont="1" applyAlignment="1">
      <alignment horizontal="center" wrapText="1"/>
    </xf>
    <xf numFmtId="1" fontId="13" fillId="0" borderId="1" xfId="0" applyNumberFormat="1" applyFont="1" applyBorder="1" applyAlignment="1" applyProtection="1">
      <alignment horizontal="center"/>
    </xf>
    <xf numFmtId="1" fontId="13" fillId="0" borderId="1" xfId="0" applyNumberFormat="1" applyFont="1" applyBorder="1"/>
    <xf numFmtId="1" fontId="13" fillId="0" borderId="0" xfId="0" applyNumberFormat="1" applyFont="1" applyBorder="1" applyProtection="1"/>
    <xf numFmtId="1" fontId="13" fillId="0" borderId="0" xfId="0" applyNumberFormat="1" applyFont="1" applyBorder="1" applyAlignment="1" applyProtection="1">
      <alignment horizontal="center"/>
    </xf>
    <xf numFmtId="1" fontId="13" fillId="0" borderId="0" xfId="0" applyNumberFormat="1" applyFont="1" applyAlignment="1">
      <alignment horizontal="right"/>
    </xf>
    <xf numFmtId="0" fontId="13" fillId="0" borderId="0" xfId="0" applyFont="1"/>
    <xf numFmtId="1" fontId="13" fillId="0" borderId="13" xfId="0" applyNumberFormat="1" applyFont="1" applyBorder="1" applyAlignment="1">
      <alignment horizontal="center" wrapText="1"/>
    </xf>
    <xf numFmtId="1" fontId="13" fillId="0" borderId="21" xfId="0" applyNumberFormat="1" applyFont="1" applyBorder="1" applyAlignment="1" applyProtection="1">
      <alignment horizontal="center"/>
    </xf>
    <xf numFmtId="1" fontId="4" fillId="3" borderId="58" xfId="0" applyNumberFormat="1" applyFont="1" applyFill="1" applyBorder="1" applyAlignment="1" applyProtection="1">
      <alignment horizontal="center"/>
    </xf>
    <xf numFmtId="1" fontId="13" fillId="0" borderId="58" xfId="0" applyNumberFormat="1" applyFont="1" applyBorder="1" applyAlignment="1">
      <alignment horizontal="left"/>
    </xf>
    <xf numFmtId="1" fontId="13" fillId="0" borderId="0" xfId="0" applyNumberFormat="1" applyFont="1" applyBorder="1" applyProtection="1">
      <protection hidden="1"/>
    </xf>
    <xf numFmtId="0" fontId="0" fillId="0" borderId="0" xfId="0" applyBorder="1" applyAlignment="1">
      <alignment horizontal="left" vertical="center"/>
    </xf>
    <xf numFmtId="0" fontId="5" fillId="0" borderId="0" xfId="0" applyFont="1" applyBorder="1"/>
    <xf numFmtId="0" fontId="6" fillId="0" borderId="0" xfId="0" applyFont="1" applyBorder="1" applyAlignment="1">
      <alignment horizontal="left" vertical="center"/>
    </xf>
    <xf numFmtId="0" fontId="11" fillId="0" borderId="0" xfId="0" applyFont="1" applyBorder="1" applyAlignment="1" applyProtection="1">
      <alignment horizontal="left"/>
    </xf>
    <xf numFmtId="1" fontId="11" fillId="0" borderId="0" xfId="0" applyNumberFormat="1" applyFont="1" applyBorder="1" applyAlignment="1">
      <alignment horizontal="left"/>
    </xf>
    <xf numFmtId="1" fontId="11" fillId="0" borderId="0" xfId="0" applyNumberFormat="1" applyFont="1" applyBorder="1"/>
    <xf numFmtId="0" fontId="10" fillId="0" borderId="0" xfId="0" applyFont="1" applyBorder="1" applyAlignment="1" applyProtection="1">
      <alignment horizontal="center"/>
    </xf>
    <xf numFmtId="1" fontId="10" fillId="0" borderId="0" xfId="0" applyNumberFormat="1" applyFont="1" applyFill="1" applyBorder="1"/>
    <xf numFmtId="0" fontId="10" fillId="0" borderId="5" xfId="0" applyFont="1" applyBorder="1"/>
    <xf numFmtId="1" fontId="10" fillId="0" borderId="21" xfId="0" applyNumberFormat="1" applyFont="1" applyBorder="1" applyAlignment="1">
      <alignment horizontal="center"/>
    </xf>
    <xf numFmtId="1" fontId="10" fillId="0" borderId="25" xfId="0" applyNumberFormat="1" applyFont="1" applyBorder="1" applyAlignment="1">
      <alignment horizontal="center"/>
    </xf>
    <xf numFmtId="1" fontId="10" fillId="0" borderId="13" xfId="0" applyNumberFormat="1" applyFont="1" applyBorder="1" applyAlignment="1">
      <alignment horizontal="center"/>
    </xf>
    <xf numFmtId="1" fontId="10" fillId="11" borderId="0" xfId="0" applyNumberFormat="1" applyFont="1" applyFill="1"/>
    <xf numFmtId="1" fontId="10" fillId="11" borderId="0" xfId="0" applyNumberFormat="1" applyFont="1" applyFill="1" applyBorder="1" applyAlignment="1">
      <alignment horizontal="right"/>
    </xf>
    <xf numFmtId="1" fontId="10" fillId="11" borderId="0" xfId="0" applyNumberFormat="1" applyFont="1" applyFill="1" applyBorder="1"/>
    <xf numFmtId="2" fontId="10" fillId="0" borderId="0" xfId="0" applyNumberFormat="1" applyFont="1"/>
    <xf numFmtId="0" fontId="6" fillId="0" borderId="0" xfId="0" applyFont="1" applyBorder="1"/>
    <xf numFmtId="0" fontId="9" fillId="0" borderId="0" xfId="0" applyFont="1" applyBorder="1"/>
    <xf numFmtId="2" fontId="10" fillId="11" borderId="0" xfId="0" applyNumberFormat="1" applyFont="1" applyFill="1"/>
    <xf numFmtId="2" fontId="6" fillId="0" borderId="0" xfId="0" applyNumberFormat="1" applyFont="1" applyBorder="1"/>
    <xf numFmtId="0" fontId="6" fillId="0" borderId="0" xfId="0" applyFont="1" applyBorder="1" applyAlignment="1">
      <alignment horizontal="right"/>
    </xf>
    <xf numFmtId="1" fontId="6" fillId="0" borderId="0" xfId="0" applyNumberFormat="1" applyFont="1" applyBorder="1"/>
    <xf numFmtId="0" fontId="6" fillId="0" borderId="0" xfId="0" applyFont="1" applyBorder="1" applyAlignment="1">
      <alignment horizontal="center"/>
    </xf>
    <xf numFmtId="0" fontId="9" fillId="0" borderId="0" xfId="0" applyFont="1" applyBorder="1" applyAlignment="1" applyProtection="1">
      <alignment horizontal="right"/>
    </xf>
    <xf numFmtId="0" fontId="10" fillId="11" borderId="0" xfId="0" applyFont="1" applyFill="1" applyBorder="1"/>
    <xf numFmtId="1" fontId="0" fillId="0" borderId="0" xfId="0" applyNumberFormat="1" applyProtection="1">
      <protection hidden="1"/>
    </xf>
    <xf numFmtId="0" fontId="12" fillId="0" borderId="0" xfId="0" applyFont="1" applyBorder="1"/>
    <xf numFmtId="0" fontId="6" fillId="0" borderId="0" xfId="0" quotePrefix="1" applyFont="1" applyBorder="1"/>
    <xf numFmtId="2" fontId="6" fillId="0" borderId="0" xfId="0" applyNumberFormat="1" applyFont="1" applyFill="1" applyBorder="1"/>
    <xf numFmtId="1" fontId="10" fillId="0" borderId="0" xfId="0" applyNumberFormat="1" applyFont="1" applyFill="1"/>
    <xf numFmtId="1" fontId="10" fillId="0" borderId="13" xfId="0" applyNumberFormat="1" applyFont="1" applyBorder="1"/>
    <xf numFmtId="1" fontId="10" fillId="0" borderId="8" xfId="0" applyNumberFormat="1" applyFont="1" applyBorder="1"/>
    <xf numFmtId="0" fontId="0" fillId="0" borderId="0" xfId="0" applyAlignment="1">
      <alignment wrapText="1"/>
    </xf>
    <xf numFmtId="0" fontId="0" fillId="6" borderId="0" xfId="0" applyFill="1"/>
    <xf numFmtId="0" fontId="0" fillId="0" borderId="0" xfId="0" applyAlignment="1">
      <alignment horizontal="center"/>
    </xf>
    <xf numFmtId="0" fontId="0" fillId="0" borderId="0" xfId="0" applyAlignment="1">
      <alignment horizontal="center" vertical="center"/>
    </xf>
    <xf numFmtId="1" fontId="13" fillId="0" borderId="53" xfId="0" applyNumberFormat="1" applyFont="1" applyBorder="1" applyAlignment="1">
      <alignment horizontal="left"/>
    </xf>
    <xf numFmtId="0" fontId="0" fillId="0" borderId="1" xfId="0" applyBorder="1"/>
    <xf numFmtId="1" fontId="0" fillId="0" borderId="0" xfId="0" applyNumberFormat="1"/>
    <xf numFmtId="1" fontId="5" fillId="0" borderId="23" xfId="0" applyNumberFormat="1" applyFont="1" applyBorder="1" applyAlignment="1" applyProtection="1">
      <alignment horizontal="center" vertical="center"/>
      <protection locked="0"/>
    </xf>
    <xf numFmtId="1" fontId="5" fillId="0" borderId="30" xfId="0" applyNumberFormat="1" applyFont="1" applyBorder="1" applyAlignment="1" applyProtection="1">
      <alignment horizontal="center" vertical="center"/>
      <protection locked="0"/>
    </xf>
    <xf numFmtId="2" fontId="0" fillId="0" borderId="0" xfId="0" applyNumberFormat="1"/>
    <xf numFmtId="2" fontId="0" fillId="0" borderId="0" xfId="0" applyNumberFormat="1"/>
    <xf numFmtId="2" fontId="3" fillId="0" borderId="0" xfId="0" applyNumberFormat="1" applyFont="1"/>
    <xf numFmtId="2" fontId="3" fillId="0" borderId="0" xfId="0" applyNumberFormat="1" applyFont="1"/>
    <xf numFmtId="2" fontId="3" fillId="0" borderId="0" xfId="0" applyNumberFormat="1" applyFont="1"/>
    <xf numFmtId="0" fontId="24" fillId="0" borderId="0" xfId="0" applyFont="1"/>
    <xf numFmtId="1" fontId="13" fillId="0" borderId="0" xfId="0" applyNumberFormat="1" applyFont="1" applyAlignment="1">
      <alignment horizontal="left"/>
    </xf>
    <xf numFmtId="0" fontId="0" fillId="0" borderId="1" xfId="0" applyBorder="1" applyAlignment="1">
      <alignment horizontal="center" wrapText="1"/>
    </xf>
    <xf numFmtId="1" fontId="0" fillId="0" borderId="0" xfId="0" applyNumberFormat="1" applyAlignment="1">
      <alignment horizontal="center"/>
    </xf>
    <xf numFmtId="0" fontId="10" fillId="0" borderId="1" xfId="0" applyFont="1" applyBorder="1" applyAlignment="1">
      <alignment horizontal="center" wrapText="1"/>
    </xf>
    <xf numFmtId="0" fontId="10" fillId="0" borderId="0" xfId="0" applyFont="1" applyBorder="1" applyAlignment="1">
      <alignment horizontal="center" wrapText="1"/>
    </xf>
    <xf numFmtId="0" fontId="10" fillId="0" borderId="0" xfId="0" applyFont="1" applyAlignment="1">
      <alignment horizontal="center" wrapText="1"/>
    </xf>
    <xf numFmtId="0" fontId="10" fillId="0" borderId="10" xfId="0" applyFont="1" applyBorder="1" applyAlignment="1">
      <alignment horizontal="center" wrapText="1"/>
    </xf>
    <xf numFmtId="165" fontId="0" fillId="0" borderId="0" xfId="0" applyNumberFormat="1" applyAlignment="1"/>
    <xf numFmtId="165" fontId="0" fillId="0" borderId="0" xfId="0" applyNumberFormat="1"/>
    <xf numFmtId="0" fontId="0" fillId="0" borderId="0" xfId="0" applyAlignment="1">
      <alignment horizontal="center"/>
    </xf>
    <xf numFmtId="0" fontId="0" fillId="0" borderId="0" xfId="0" applyAlignment="1">
      <alignment horizontal="left"/>
    </xf>
    <xf numFmtId="0" fontId="0" fillId="0" borderId="1" xfId="0" applyBorder="1" applyAlignment="1">
      <alignment horizontal="center"/>
    </xf>
    <xf numFmtId="0" fontId="10" fillId="0" borderId="0" xfId="0" applyFont="1" applyAlignment="1">
      <alignment horizontal="right"/>
    </xf>
    <xf numFmtId="0" fontId="0" fillId="6" borderId="0" xfId="0" applyFill="1" applyAlignment="1">
      <alignment horizontal="center" vertical="center" textRotation="90"/>
    </xf>
    <xf numFmtId="0" fontId="0" fillId="0" borderId="0" xfId="0" applyAlignment="1">
      <alignment horizontal="center"/>
    </xf>
    <xf numFmtId="0" fontId="5" fillId="5" borderId="38" xfId="0" applyFont="1" applyFill="1" applyBorder="1" applyAlignment="1" applyProtection="1">
      <protection locked="0"/>
    </xf>
    <xf numFmtId="0" fontId="5" fillId="5" borderId="13" xfId="0" applyFont="1" applyFill="1" applyBorder="1" applyProtection="1">
      <protection locked="0"/>
    </xf>
    <xf numFmtId="0" fontId="5" fillId="0" borderId="0" xfId="0" applyFont="1" applyProtection="1"/>
    <xf numFmtId="0" fontId="0" fillId="0" borderId="0" xfId="0" applyBorder="1" applyAlignment="1" applyProtection="1"/>
    <xf numFmtId="0" fontId="5" fillId="0" borderId="0" xfId="0" applyFont="1" applyBorder="1" applyAlignment="1" applyProtection="1">
      <alignment horizontal="center"/>
    </xf>
    <xf numFmtId="0" fontId="0" fillId="0" borderId="0" xfId="0" applyAlignment="1" applyProtection="1"/>
    <xf numFmtId="0" fontId="5" fillId="0" borderId="0" xfId="0" applyFont="1" applyAlignment="1" applyProtection="1">
      <alignment horizontal="left"/>
    </xf>
    <xf numFmtId="0" fontId="0" fillId="0" borderId="0" xfId="0" applyAlignment="1" applyProtection="1"/>
    <xf numFmtId="0" fontId="5" fillId="0" borderId="0" xfId="0" applyFont="1" applyBorder="1" applyAlignment="1" applyProtection="1">
      <alignment horizontal="left"/>
    </xf>
    <xf numFmtId="0" fontId="5" fillId="0" borderId="0" xfId="0" applyFont="1" applyBorder="1" applyProtection="1"/>
    <xf numFmtId="0" fontId="21" fillId="3" borderId="0" xfId="0" applyFont="1" applyFill="1" applyAlignment="1" applyProtection="1">
      <alignment horizontal="left" vertical="center"/>
    </xf>
    <xf numFmtId="0" fontId="6" fillId="0" borderId="0" xfId="0" applyFont="1" applyProtection="1"/>
    <xf numFmtId="0" fontId="21" fillId="0" borderId="0" xfId="0" applyFont="1" applyFill="1" applyBorder="1" applyAlignment="1" applyProtection="1">
      <alignment horizontal="left" vertical="center"/>
    </xf>
    <xf numFmtId="0" fontId="0" fillId="0" borderId="0" xfId="0" applyProtection="1"/>
    <xf numFmtId="0" fontId="5" fillId="0" borderId="0" xfId="0" applyFont="1" applyAlignment="1" applyProtection="1">
      <alignment wrapText="1"/>
    </xf>
    <xf numFmtId="0" fontId="5" fillId="3" borderId="18" xfId="0" applyFont="1" applyFill="1" applyBorder="1" applyProtection="1"/>
    <xf numFmtId="0" fontId="5" fillId="0" borderId="0" xfId="0" applyFont="1" applyBorder="1" applyAlignment="1" applyProtection="1">
      <alignment horizontal="center" vertical="center"/>
    </xf>
    <xf numFmtId="0" fontId="9" fillId="0" borderId="23" xfId="0" applyFont="1" applyBorder="1" applyAlignment="1" applyProtection="1">
      <alignment horizontal="center" vertical="center"/>
    </xf>
    <xf numFmtId="0" fontId="9" fillId="0" borderId="1" xfId="0" applyFont="1" applyBorder="1" applyAlignment="1" applyProtection="1">
      <alignment horizontal="center" vertical="center"/>
    </xf>
    <xf numFmtId="13" fontId="5" fillId="0" borderId="0" xfId="0" applyNumberFormat="1" applyFont="1" applyBorder="1" applyAlignment="1" applyProtection="1">
      <alignment horizontal="center" vertical="center"/>
    </xf>
    <xf numFmtId="2" fontId="23" fillId="0" borderId="0" xfId="0" applyNumberFormat="1" applyFont="1" applyAlignment="1" applyProtection="1">
      <alignment horizontal="right" vertical="top"/>
    </xf>
    <xf numFmtId="0" fontId="5" fillId="0" borderId="23" xfId="0" applyFont="1" applyBorder="1" applyAlignment="1" applyProtection="1">
      <alignment horizontal="center"/>
    </xf>
    <xf numFmtId="0" fontId="5" fillId="0" borderId="29" xfId="0" applyFont="1" applyBorder="1" applyAlignment="1" applyProtection="1">
      <alignment horizontal="center"/>
    </xf>
    <xf numFmtId="0" fontId="3"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5" fillId="0" borderId="23" xfId="0" applyFont="1" applyBorder="1" applyAlignment="1" applyProtection="1">
      <alignment horizontal="center" vertical="center"/>
    </xf>
    <xf numFmtId="0" fontId="7" fillId="3" borderId="14" xfId="0" applyFont="1" applyFill="1" applyBorder="1" applyAlignment="1" applyProtection="1">
      <alignment horizontal="right" vertical="center"/>
    </xf>
    <xf numFmtId="0" fontId="0" fillId="0" borderId="29" xfId="0" applyBorder="1" applyAlignment="1" applyProtection="1"/>
    <xf numFmtId="0" fontId="5" fillId="0" borderId="1" xfId="0" applyFont="1" applyBorder="1" applyAlignment="1" applyProtection="1"/>
    <xf numFmtId="1" fontId="5" fillId="0" borderId="1" xfId="0" applyNumberFormat="1" applyFont="1" applyBorder="1" applyAlignment="1" applyProtection="1">
      <alignment horizontal="center" vertical="center"/>
    </xf>
    <xf numFmtId="0" fontId="0" fillId="0" borderId="0" xfId="0" applyAlignment="1">
      <alignment horizontal="center"/>
    </xf>
    <xf numFmtId="0" fontId="0" fillId="0" borderId="0" xfId="0" applyAlignment="1">
      <alignment horizontal="left"/>
    </xf>
    <xf numFmtId="1" fontId="14" fillId="0" borderId="11" xfId="0" applyNumberFormat="1" applyFont="1" applyBorder="1" applyAlignment="1">
      <alignment horizontal="left"/>
    </xf>
    <xf numFmtId="1" fontId="14" fillId="0" borderId="10" xfId="0" applyNumberFormat="1" applyFont="1" applyBorder="1" applyAlignment="1">
      <alignment horizontal="left"/>
    </xf>
    <xf numFmtId="1" fontId="14" fillId="0" borderId="11" xfId="0" applyNumberFormat="1" applyFont="1" applyBorder="1" applyAlignment="1" applyProtection="1">
      <alignment horizontal="left"/>
    </xf>
    <xf numFmtId="1" fontId="14" fillId="0" borderId="10" xfId="0" applyNumberFormat="1" applyFont="1" applyBorder="1" applyAlignment="1" applyProtection="1">
      <alignment horizontal="left"/>
    </xf>
    <xf numFmtId="49" fontId="0" fillId="0" borderId="0" xfId="0" applyNumberFormat="1" applyAlignment="1">
      <alignment horizontal="left"/>
    </xf>
    <xf numFmtId="0" fontId="0" fillId="6" borderId="0" xfId="0" applyNumberFormat="1" applyFill="1" applyAlignment="1">
      <alignment horizontal="left"/>
    </xf>
    <xf numFmtId="1" fontId="6" fillId="0" borderId="23" xfId="0" applyNumberFormat="1" applyFont="1" applyFill="1" applyBorder="1" applyAlignment="1" applyProtection="1">
      <alignment horizontal="center" vertical="center"/>
      <protection locked="0"/>
    </xf>
    <xf numFmtId="1" fontId="6" fillId="0" borderId="1" xfId="0" applyNumberFormat="1" applyFont="1" applyFill="1" applyBorder="1" applyAlignment="1" applyProtection="1">
      <alignment horizontal="center" vertical="center"/>
      <protection locked="0"/>
    </xf>
    <xf numFmtId="1" fontId="6" fillId="0" borderId="30" xfId="0" applyNumberFormat="1" applyFont="1" applyFill="1" applyBorder="1" applyAlignment="1" applyProtection="1">
      <alignment horizontal="center" vertical="center"/>
      <protection locked="0"/>
    </xf>
    <xf numFmtId="1" fontId="6" fillId="0" borderId="31" xfId="0" applyNumberFormat="1" applyFont="1" applyFill="1" applyBorder="1" applyAlignment="1" applyProtection="1">
      <alignment horizontal="center" vertical="center"/>
      <protection locked="0"/>
    </xf>
    <xf numFmtId="1" fontId="5" fillId="0" borderId="1" xfId="0" applyNumberFormat="1" applyFont="1" applyBorder="1" applyAlignment="1" applyProtection="1">
      <alignment horizontal="center" vertical="center"/>
      <protection locked="0"/>
    </xf>
    <xf numFmtId="1" fontId="5" fillId="0" borderId="31" xfId="0" applyNumberFormat="1" applyFont="1" applyBorder="1" applyAlignment="1" applyProtection="1">
      <alignment horizontal="center" vertical="center"/>
      <protection locked="0"/>
    </xf>
    <xf numFmtId="2" fontId="23" fillId="0" borderId="0" xfId="0" applyNumberFormat="1" applyFont="1" applyAlignment="1" applyProtection="1">
      <alignment horizontal="right" vertical="top"/>
    </xf>
    <xf numFmtId="0" fontId="12" fillId="0" borderId="0" xfId="0" applyFont="1" applyBorder="1" applyAlignment="1" applyProtection="1"/>
    <xf numFmtId="0" fontId="9" fillId="0" borderId="0" xfId="0" applyFont="1" applyAlignment="1" applyProtection="1">
      <alignment horizontal="right" vertical="center"/>
    </xf>
    <xf numFmtId="1" fontId="5" fillId="0" borderId="0" xfId="0" applyNumberFormat="1" applyFont="1" applyAlignment="1" applyProtection="1">
      <alignment horizontal="center" vertical="center"/>
    </xf>
    <xf numFmtId="0" fontId="5" fillId="0" borderId="0" xfId="0" applyFont="1" applyBorder="1" applyAlignment="1" applyProtection="1">
      <alignment horizontal="left" vertical="center"/>
    </xf>
    <xf numFmtId="0" fontId="12" fillId="0" borderId="0" xfId="0" applyFont="1" applyAlignment="1">
      <alignment horizontal="left" vertical="center" wrapText="1"/>
    </xf>
    <xf numFmtId="12" fontId="0" fillId="0" borderId="1" xfId="0" applyNumberFormat="1" applyBorder="1" applyProtection="1">
      <protection locked="0"/>
    </xf>
    <xf numFmtId="12" fontId="0" fillId="0" borderId="1" xfId="0" applyNumberFormat="1" applyBorder="1" applyAlignment="1" applyProtection="1">
      <alignment horizontal="center" vertical="center"/>
      <protection locked="0"/>
    </xf>
    <xf numFmtId="12" fontId="0" fillId="0" borderId="11" xfId="0" applyNumberFormat="1" applyBorder="1" applyProtection="1">
      <protection locked="0"/>
    </xf>
    <xf numFmtId="0" fontId="3" fillId="0" borderId="1" xfId="0" applyFont="1" applyBorder="1"/>
    <xf numFmtId="1" fontId="14" fillId="0" borderId="0" xfId="0" applyNumberFormat="1" applyFont="1" applyBorder="1" applyProtection="1"/>
    <xf numFmtId="1" fontId="13" fillId="0" borderId="35" xfId="0" applyNumberFormat="1" applyFont="1" applyBorder="1" applyAlignment="1" applyProtection="1">
      <alignment horizontal="left"/>
    </xf>
    <xf numFmtId="0" fontId="0" fillId="0" borderId="35" xfId="0" applyBorder="1" applyAlignment="1">
      <alignment horizontal="left"/>
    </xf>
    <xf numFmtId="1" fontId="14" fillId="0" borderId="0" xfId="0" applyNumberFormat="1" applyFont="1" applyBorder="1"/>
    <xf numFmtId="0" fontId="0" fillId="0" borderId="35" xfId="0" applyBorder="1" applyAlignment="1"/>
    <xf numFmtId="0" fontId="3" fillId="0" borderId="0" xfId="0" applyFont="1" applyFill="1" applyBorder="1" applyProtection="1"/>
    <xf numFmtId="2" fontId="12" fillId="0" borderId="57" xfId="0" applyNumberFormat="1" applyFont="1" applyBorder="1"/>
    <xf numFmtId="1" fontId="26" fillId="0" borderId="57" xfId="0" applyNumberFormat="1" applyFont="1" applyBorder="1"/>
    <xf numFmtId="1" fontId="13" fillId="0" borderId="29" xfId="0" applyNumberFormat="1" applyFont="1" applyBorder="1"/>
    <xf numFmtId="0" fontId="13" fillId="0" borderId="23" xfId="0" applyFont="1" applyBorder="1" applyAlignment="1">
      <alignment horizontal="left" vertical="center"/>
    </xf>
    <xf numFmtId="0" fontId="13" fillId="0" borderId="1" xfId="0" applyFont="1" applyBorder="1" applyAlignment="1">
      <alignment horizontal="left" vertical="center"/>
    </xf>
    <xf numFmtId="1" fontId="13" fillId="0" borderId="32" xfId="0" applyNumberFormat="1" applyFont="1" applyBorder="1"/>
    <xf numFmtId="1" fontId="13" fillId="0" borderId="60" xfId="0" applyNumberFormat="1" applyFont="1" applyBorder="1"/>
    <xf numFmtId="1" fontId="10" fillId="0" borderId="0" xfId="0" applyNumberFormat="1" applyFont="1" applyBorder="1" applyAlignment="1">
      <alignment horizontal="left"/>
    </xf>
    <xf numFmtId="13" fontId="10" fillId="0" borderId="1" xfId="0" applyNumberFormat="1" applyFont="1" applyBorder="1"/>
    <xf numFmtId="0" fontId="10" fillId="0" borderId="12" xfId="0" applyFont="1" applyBorder="1" applyAlignment="1" applyProtection="1">
      <alignment horizontal="left"/>
    </xf>
    <xf numFmtId="1" fontId="6" fillId="0" borderId="54" xfId="0" applyNumberFormat="1" applyFont="1" applyBorder="1" applyAlignment="1" applyProtection="1">
      <alignment horizontal="left"/>
    </xf>
    <xf numFmtId="1" fontId="13" fillId="0" borderId="54" xfId="0" applyNumberFormat="1" applyFont="1" applyBorder="1" applyAlignment="1">
      <alignment horizontal="left"/>
    </xf>
    <xf numFmtId="0" fontId="13" fillId="0" borderId="52" xfId="0" applyFont="1" applyBorder="1" applyAlignment="1">
      <alignment horizontal="left"/>
    </xf>
    <xf numFmtId="13" fontId="0" fillId="0" borderId="0" xfId="0" applyNumberFormat="1"/>
    <xf numFmtId="13" fontId="0" fillId="0" borderId="0" xfId="0" applyNumberFormat="1" applyProtection="1">
      <protection hidden="1"/>
    </xf>
    <xf numFmtId="13" fontId="5" fillId="0" borderId="29" xfId="0" applyNumberFormat="1" applyFont="1" applyBorder="1" applyAlignment="1" applyProtection="1">
      <alignment horizontal="center" vertical="center"/>
      <protection locked="0"/>
    </xf>
    <xf numFmtId="13" fontId="5" fillId="0" borderId="32" xfId="0" applyNumberFormat="1" applyFont="1" applyBorder="1" applyAlignment="1" applyProtection="1">
      <alignment horizontal="center" vertical="center"/>
      <protection locked="0"/>
    </xf>
    <xf numFmtId="13" fontId="5" fillId="0" borderId="1" xfId="0" applyNumberFormat="1" applyFont="1" applyBorder="1" applyAlignment="1" applyProtection="1">
      <alignment horizontal="center" vertical="center"/>
      <protection locked="0"/>
    </xf>
    <xf numFmtId="13" fontId="5" fillId="0" borderId="31" xfId="0" applyNumberFormat="1" applyFont="1" applyBorder="1" applyAlignment="1" applyProtection="1">
      <alignment horizontal="center" vertical="center"/>
      <protection locked="0"/>
    </xf>
    <xf numFmtId="13" fontId="5" fillId="0" borderId="22" xfId="0" applyNumberFormat="1" applyFont="1" applyBorder="1" applyAlignment="1" applyProtection="1">
      <alignment horizontal="center" vertical="center"/>
      <protection locked="0"/>
    </xf>
    <xf numFmtId="0" fontId="5" fillId="0" borderId="8" xfId="0" applyFont="1" applyBorder="1" applyProtection="1">
      <protection locked="0"/>
    </xf>
    <xf numFmtId="1" fontId="5" fillId="0" borderId="11" xfId="0" applyNumberFormat="1" applyFont="1" applyBorder="1" applyAlignment="1" applyProtection="1">
      <alignment horizontal="center" vertical="center"/>
      <protection locked="0"/>
    </xf>
    <xf numFmtId="13" fontId="5" fillId="0" borderId="13" xfId="0" applyNumberFormat="1" applyFont="1" applyBorder="1" applyAlignment="1" applyProtection="1">
      <alignment horizontal="center" vertical="center"/>
      <protection locked="0"/>
    </xf>
    <xf numFmtId="13" fontId="5" fillId="0" borderId="27" xfId="0" applyNumberFormat="1" applyFont="1" applyBorder="1" applyAlignment="1" applyProtection="1">
      <alignment horizontal="center" vertical="center"/>
      <protection locked="0"/>
    </xf>
    <xf numFmtId="0" fontId="0" fillId="0" borderId="8" xfId="0" applyBorder="1" applyAlignment="1"/>
    <xf numFmtId="0" fontId="0" fillId="0" borderId="10" xfId="0" applyBorder="1" applyAlignment="1"/>
    <xf numFmtId="0" fontId="0" fillId="0" borderId="0" xfId="0" applyAlignment="1"/>
    <xf numFmtId="0" fontId="0" fillId="0" borderId="0" xfId="0" applyBorder="1" applyAlignment="1"/>
    <xf numFmtId="0" fontId="21" fillId="3" borderId="19" xfId="0" applyFont="1" applyFill="1" applyBorder="1" applyAlignment="1" applyProtection="1">
      <alignment horizontal="center"/>
    </xf>
    <xf numFmtId="0" fontId="21" fillId="3" borderId="0" xfId="0" applyFont="1" applyFill="1" applyBorder="1" applyAlignment="1" applyProtection="1">
      <alignment horizontal="center"/>
    </xf>
    <xf numFmtId="0" fontId="21" fillId="3" borderId="17" xfId="0" applyFont="1" applyFill="1" applyBorder="1" applyAlignment="1" applyProtection="1">
      <alignment horizontal="center"/>
    </xf>
    <xf numFmtId="0" fontId="0" fillId="0" borderId="8" xfId="0" applyBorder="1" applyAlignment="1">
      <alignment horizontal="left"/>
    </xf>
    <xf numFmtId="0" fontId="0" fillId="0" borderId="0" xfId="0" applyAlignment="1">
      <alignment horizontal="left"/>
    </xf>
    <xf numFmtId="1" fontId="10" fillId="0" borderId="8" xfId="0" applyNumberFormat="1" applyFont="1" applyBorder="1" applyAlignment="1" applyProtection="1">
      <alignment horizontal="left"/>
    </xf>
    <xf numFmtId="1" fontId="10" fillId="0" borderId="10" xfId="0" applyNumberFormat="1" applyFont="1" applyBorder="1" applyAlignment="1" applyProtection="1">
      <alignment horizontal="left"/>
    </xf>
    <xf numFmtId="0" fontId="0" fillId="0" borderId="0" xfId="0"/>
    <xf numFmtId="0" fontId="0" fillId="8" borderId="0" xfId="0" applyFill="1" applyAlignment="1">
      <alignment horizontal="center"/>
    </xf>
    <xf numFmtId="0" fontId="0" fillId="8" borderId="0" xfId="0" applyFill="1"/>
    <xf numFmtId="0" fontId="11" fillId="0" borderId="0" xfId="0" applyFont="1" applyAlignment="1">
      <alignment horizontal="right"/>
    </xf>
    <xf numFmtId="0" fontId="0" fillId="0" borderId="0" xfId="0" applyBorder="1" applyAlignment="1">
      <alignment horizontal="left"/>
    </xf>
    <xf numFmtId="1" fontId="10" fillId="0" borderId="0" xfId="0" applyNumberFormat="1" applyFont="1"/>
    <xf numFmtId="0" fontId="11" fillId="0" borderId="0" xfId="0" applyFont="1" applyBorder="1" applyAlignment="1">
      <alignment horizontal="right"/>
    </xf>
    <xf numFmtId="0" fontId="21" fillId="3" borderId="0" xfId="0" applyFont="1" applyFill="1" applyBorder="1" applyAlignment="1" applyProtection="1">
      <alignment horizontal="right"/>
    </xf>
    <xf numFmtId="0" fontId="0" fillId="0" borderId="0" xfId="0"/>
    <xf numFmtId="0" fontId="0" fillId="11" borderId="0" xfId="0" applyFill="1" applyProtection="1"/>
    <xf numFmtId="49" fontId="0" fillId="0" borderId="0" xfId="0" applyNumberFormat="1" applyProtection="1"/>
    <xf numFmtId="0" fontId="0" fillId="0" borderId="52" xfId="0" applyBorder="1" applyProtection="1"/>
    <xf numFmtId="166" fontId="0" fillId="0" borderId="52" xfId="0" applyNumberFormat="1" applyBorder="1" applyAlignment="1" applyProtection="1">
      <alignment shrinkToFit="1"/>
    </xf>
    <xf numFmtId="0" fontId="15" fillId="0" borderId="0" xfId="0" applyFont="1" applyProtection="1"/>
    <xf numFmtId="0" fontId="22" fillId="0" borderId="0" xfId="0" applyFont="1" applyProtection="1"/>
    <xf numFmtId="0" fontId="0" fillId="0" borderId="0" xfId="0" applyAlignment="1" applyProtection="1">
      <alignment horizontal="center" vertical="center"/>
    </xf>
    <xf numFmtId="49" fontId="0" fillId="0" borderId="0" xfId="0" applyNumberFormat="1" applyAlignment="1" applyProtection="1">
      <alignment horizontal="center" vertical="center"/>
    </xf>
    <xf numFmtId="0" fontId="0" fillId="0" borderId="1" xfId="0" applyBorder="1" applyAlignment="1" applyProtection="1">
      <alignment horizontal="center" vertical="center"/>
    </xf>
    <xf numFmtId="0" fontId="0" fillId="0" borderId="23" xfId="0" applyBorder="1" applyAlignment="1" applyProtection="1">
      <alignment horizontal="center" vertical="center"/>
    </xf>
    <xf numFmtId="0" fontId="0" fillId="0" borderId="5" xfId="0" applyBorder="1" applyAlignment="1" applyProtection="1">
      <alignment horizontal="center" vertical="center"/>
    </xf>
    <xf numFmtId="0" fontId="0" fillId="0" borderId="1" xfId="0" applyFill="1" applyBorder="1" applyAlignment="1" applyProtection="1">
      <alignment horizontal="center" vertical="center"/>
    </xf>
    <xf numFmtId="0" fontId="0" fillId="0" borderId="29" xfId="0" applyFill="1" applyBorder="1" applyAlignment="1" applyProtection="1">
      <alignment horizontal="center" vertical="center"/>
    </xf>
    <xf numFmtId="0" fontId="15" fillId="3" borderId="18" xfId="0" applyFont="1" applyFill="1" applyBorder="1" applyProtection="1"/>
    <xf numFmtId="0" fontId="22" fillId="3" borderId="18" xfId="0" applyFont="1" applyFill="1" applyBorder="1" applyProtection="1"/>
    <xf numFmtId="0" fontId="0" fillId="3" borderId="0" xfId="0" applyFill="1" applyProtection="1"/>
    <xf numFmtId="1" fontId="0" fillId="0" borderId="23" xfId="0" applyNumberFormat="1" applyBorder="1" applyProtection="1"/>
    <xf numFmtId="1" fontId="0" fillId="0" borderId="1" xfId="0" applyNumberFormat="1" applyBorder="1" applyProtection="1"/>
    <xf numFmtId="1" fontId="0" fillId="0" borderId="11" xfId="0" applyNumberFormat="1" applyBorder="1" applyProtection="1"/>
    <xf numFmtId="0" fontId="0" fillId="0" borderId="1" xfId="0" applyBorder="1" applyProtection="1"/>
    <xf numFmtId="0" fontId="0" fillId="0" borderId="29" xfId="0" applyBorder="1" applyProtection="1"/>
    <xf numFmtId="0" fontId="15" fillId="0" borderId="12" xfId="0" applyFont="1" applyBorder="1" applyAlignment="1" applyProtection="1">
      <alignment horizontal="center"/>
    </xf>
    <xf numFmtId="0" fontId="15" fillId="0" borderId="1" xfId="0" applyFont="1" applyBorder="1" applyAlignment="1" applyProtection="1">
      <alignment horizontal="center"/>
    </xf>
    <xf numFmtId="0" fontId="15" fillId="0" borderId="29" xfId="0" applyFont="1" applyBorder="1" applyAlignment="1" applyProtection="1">
      <alignment horizontal="center"/>
    </xf>
    <xf numFmtId="0" fontId="15" fillId="0" borderId="23" xfId="0" applyFont="1" applyBorder="1" applyAlignment="1" applyProtection="1">
      <alignment horizontal="center"/>
    </xf>
    <xf numFmtId="1" fontId="15" fillId="0" borderId="1" xfId="0" applyNumberFormat="1" applyFont="1" applyBorder="1" applyAlignment="1" applyProtection="1">
      <alignment horizontal="center" vertical="center"/>
    </xf>
    <xf numFmtId="1" fontId="15" fillId="0" borderId="23" xfId="0" applyNumberFormat="1" applyFont="1" applyBorder="1" applyAlignment="1" applyProtection="1">
      <alignment horizontal="center"/>
    </xf>
    <xf numFmtId="1" fontId="15" fillId="0" borderId="29" xfId="0" applyNumberFormat="1" applyFont="1" applyBorder="1" applyProtection="1"/>
    <xf numFmtId="0" fontId="15" fillId="0" borderId="1" xfId="0" applyFont="1" applyBorder="1" applyProtection="1"/>
    <xf numFmtId="0" fontId="15" fillId="0" borderId="29" xfId="0" applyFont="1" applyBorder="1" applyProtection="1"/>
    <xf numFmtId="0" fontId="15" fillId="0" borderId="29" xfId="0" applyNumberFormat="1" applyFont="1" applyBorder="1" applyAlignment="1" applyProtection="1">
      <alignment horizontal="center"/>
    </xf>
    <xf numFmtId="1" fontId="0" fillId="0" borderId="29" xfId="0" applyNumberFormat="1" applyBorder="1" applyProtection="1"/>
    <xf numFmtId="0" fontId="0" fillId="0" borderId="11" xfId="0" applyNumberFormat="1" applyBorder="1" applyAlignment="1" applyProtection="1">
      <alignment horizontal="center" vertical="center"/>
    </xf>
    <xf numFmtId="1" fontId="0" fillId="0" borderId="30" xfId="0" applyNumberFormat="1" applyBorder="1" applyProtection="1"/>
    <xf numFmtId="1" fontId="0" fillId="0" borderId="31" xfId="0" applyNumberFormat="1" applyBorder="1" applyProtection="1"/>
    <xf numFmtId="1" fontId="0" fillId="0" borderId="40" xfId="0" applyNumberFormat="1" applyBorder="1" applyProtection="1"/>
    <xf numFmtId="1" fontId="0" fillId="0" borderId="32" xfId="0" applyNumberFormat="1" applyBorder="1" applyProtection="1"/>
    <xf numFmtId="49" fontId="3" fillId="0" borderId="0" xfId="0" applyNumberFormat="1" applyFont="1" applyProtection="1"/>
    <xf numFmtId="12" fontId="0" fillId="0" borderId="0" xfId="0" applyNumberFormat="1" applyFill="1" applyBorder="1" applyProtection="1"/>
    <xf numFmtId="1" fontId="0" fillId="0" borderId="53" xfId="0" applyNumberFormat="1" applyFill="1" applyBorder="1" applyProtection="1"/>
    <xf numFmtId="1" fontId="0" fillId="0" borderId="54" xfId="0" applyNumberFormat="1" applyBorder="1" applyProtection="1"/>
    <xf numFmtId="1" fontId="0" fillId="0" borderId="0" xfId="0" applyNumberFormat="1" applyProtection="1"/>
    <xf numFmtId="0" fontId="22" fillId="0" borderId="23" xfId="0" applyFont="1" applyBorder="1" applyAlignment="1" applyProtection="1">
      <alignment horizontal="center" vertical="center"/>
    </xf>
    <xf numFmtId="0" fontId="22" fillId="0" borderId="1" xfId="0" applyFont="1" applyBorder="1" applyAlignment="1" applyProtection="1">
      <alignment horizontal="center" vertical="center"/>
    </xf>
    <xf numFmtId="0" fontId="8" fillId="3" borderId="19" xfId="0" applyFont="1" applyFill="1" applyBorder="1" applyAlignment="1" applyProtection="1">
      <alignment horizontal="right" vertical="center"/>
    </xf>
    <xf numFmtId="0" fontId="0" fillId="0" borderId="14" xfId="0" applyBorder="1" applyProtection="1"/>
    <xf numFmtId="0" fontId="0" fillId="0" borderId="15" xfId="0" applyBorder="1" applyProtection="1"/>
    <xf numFmtId="1" fontId="0" fillId="0" borderId="15" xfId="0" applyNumberFormat="1" applyBorder="1" applyProtection="1"/>
    <xf numFmtId="1" fontId="0" fillId="0" borderId="16" xfId="0" applyNumberFormat="1" applyBorder="1" applyProtection="1"/>
    <xf numFmtId="0" fontId="15" fillId="0" borderId="0" xfId="0" applyFont="1" applyBorder="1" applyAlignment="1" applyProtection="1">
      <alignment horizontal="center" vertical="center"/>
    </xf>
    <xf numFmtId="0" fontId="0" fillId="0" borderId="19" xfId="0" applyBorder="1" applyProtection="1"/>
    <xf numFmtId="1" fontId="0" fillId="0" borderId="0" xfId="0" applyNumberFormat="1" applyBorder="1" applyProtection="1"/>
    <xf numFmtId="1" fontId="0" fillId="0" borderId="18" xfId="0" applyNumberFormat="1" applyBorder="1" applyProtection="1"/>
    <xf numFmtId="0" fontId="0" fillId="0" borderId="55" xfId="0" applyBorder="1" applyProtection="1"/>
    <xf numFmtId="0" fontId="0" fillId="0" borderId="35" xfId="0" applyBorder="1" applyProtection="1"/>
    <xf numFmtId="1" fontId="0" fillId="0" borderId="35" xfId="0" applyNumberFormat="1" applyBorder="1" applyProtection="1"/>
    <xf numFmtId="1" fontId="0" fillId="0" borderId="56" xfId="0" applyNumberFormat="1" applyBorder="1" applyProtection="1"/>
    <xf numFmtId="0" fontId="8" fillId="3" borderId="14" xfId="0" applyFont="1" applyFill="1" applyBorder="1" applyAlignment="1" applyProtection="1">
      <alignment horizontal="right" vertical="center"/>
    </xf>
    <xf numFmtId="0" fontId="6" fillId="5" borderId="18" xfId="0" applyFont="1" applyFill="1" applyBorder="1" applyAlignment="1" applyProtection="1">
      <alignment horizontal="left" vertical="center"/>
      <protection locked="0"/>
    </xf>
    <xf numFmtId="0" fontId="0" fillId="0" borderId="0" xfId="0" applyNumberFormat="1" applyAlignment="1"/>
    <xf numFmtId="0" fontId="0" fillId="0" borderId="0" xfId="0" applyNumberFormat="1"/>
    <xf numFmtId="0" fontId="5" fillId="0" borderId="1" xfId="0" applyFont="1" applyBorder="1" applyAlignment="1" applyProtection="1">
      <alignment horizontal="center" vertical="center"/>
    </xf>
    <xf numFmtId="0" fontId="0" fillId="0" borderId="8" xfId="0" applyBorder="1" applyAlignment="1" applyProtection="1">
      <alignment horizontal="left" vertical="center"/>
      <protection locked="0"/>
    </xf>
    <xf numFmtId="2" fontId="23" fillId="0" borderId="0" xfId="0" applyNumberFormat="1" applyFont="1" applyAlignment="1" applyProtection="1">
      <alignment horizontal="right" vertical="top"/>
    </xf>
    <xf numFmtId="0" fontId="0" fillId="0" borderId="0" xfId="0" applyAlignment="1"/>
    <xf numFmtId="0" fontId="5" fillId="0" borderId="0" xfId="0" applyFont="1" applyBorder="1" applyAlignment="1" applyProtection="1"/>
    <xf numFmtId="0" fontId="0" fillId="0" borderId="1" xfId="0" applyBorder="1" applyAlignment="1" applyProtection="1"/>
    <xf numFmtId="0" fontId="0" fillId="0" borderId="0" xfId="0" applyAlignment="1" applyProtection="1"/>
    <xf numFmtId="13" fontId="5" fillId="0" borderId="31" xfId="0" applyNumberFormat="1" applyFont="1" applyBorder="1" applyAlignment="1" applyProtection="1">
      <alignment horizontal="center" vertical="center"/>
      <protection locked="0"/>
    </xf>
    <xf numFmtId="13" fontId="5" fillId="0" borderId="1" xfId="0" applyNumberFormat="1" applyFont="1" applyBorder="1" applyAlignment="1" applyProtection="1">
      <alignment horizontal="center" vertical="center"/>
      <protection locked="0"/>
    </xf>
    <xf numFmtId="0" fontId="0" fillId="6" borderId="0" xfId="0" applyFill="1" applyAlignment="1">
      <alignment horizontal="center" vertical="center" textRotation="90"/>
    </xf>
    <xf numFmtId="0" fontId="0" fillId="0" borderId="25" xfId="0" applyBorder="1" applyAlignment="1" applyProtection="1">
      <alignment horizontal="center" vertical="center"/>
    </xf>
    <xf numFmtId="0" fontId="0" fillId="0" borderId="0" xfId="0" applyAlignment="1" applyProtection="1">
      <alignment wrapText="1"/>
    </xf>
    <xf numFmtId="1" fontId="15" fillId="0" borderId="12" xfId="0" applyNumberFormat="1" applyFont="1" applyBorder="1" applyAlignment="1" applyProtection="1">
      <alignment horizontal="center"/>
    </xf>
    <xf numFmtId="0" fontId="15" fillId="0" borderId="12" xfId="0" applyFont="1" applyBorder="1" applyAlignment="1" applyProtection="1">
      <alignment horizontal="center" vertical="center"/>
    </xf>
    <xf numFmtId="0" fontId="15" fillId="0" borderId="1" xfId="0" applyFont="1" applyBorder="1" applyAlignment="1" applyProtection="1">
      <alignment horizontal="center" vertical="center"/>
    </xf>
    <xf numFmtId="0" fontId="15" fillId="0" borderId="29" xfId="0" applyFont="1" applyBorder="1" applyAlignment="1" applyProtection="1">
      <alignment horizontal="center" vertical="center"/>
    </xf>
    <xf numFmtId="1" fontId="15" fillId="0" borderId="1" xfId="0" applyNumberFormat="1" applyFont="1" applyBorder="1" applyAlignment="1" applyProtection="1">
      <alignment horizontal="center"/>
    </xf>
    <xf numFmtId="1" fontId="15" fillId="0" borderId="29" xfId="0" applyNumberFormat="1" applyFont="1" applyBorder="1" applyAlignment="1" applyProtection="1">
      <alignment horizontal="center"/>
    </xf>
    <xf numFmtId="0" fontId="15" fillId="0" borderId="23" xfId="0" applyFont="1" applyBorder="1" applyAlignment="1" applyProtection="1">
      <alignment horizontal="center" vertical="center"/>
    </xf>
    <xf numFmtId="0" fontId="0" fillId="0" borderId="11" xfId="0" applyBorder="1" applyAlignment="1" applyProtection="1">
      <alignment horizontal="center" vertical="center"/>
    </xf>
    <xf numFmtId="0" fontId="0" fillId="0" borderId="0" xfId="0"/>
    <xf numFmtId="0" fontId="0" fillId="0" borderId="0" xfId="0" applyAlignment="1" applyProtection="1">
      <alignment horizontal="center"/>
      <protection locked="0"/>
    </xf>
    <xf numFmtId="0" fontId="0" fillId="0" borderId="0" xfId="0" applyAlignment="1" applyProtection="1">
      <alignment horizontal="center" vertical="center"/>
      <protection locked="0"/>
    </xf>
    <xf numFmtId="0" fontId="0" fillId="0" borderId="0" xfId="0" applyProtection="1">
      <protection locked="0"/>
    </xf>
    <xf numFmtId="0" fontId="5" fillId="0" borderId="0" xfId="0" applyFont="1" applyAlignment="1" applyProtection="1">
      <alignment horizontal="right" vertical="center"/>
    </xf>
    <xf numFmtId="0" fontId="25" fillId="13" borderId="2" xfId="0" applyFont="1" applyFill="1" applyBorder="1" applyAlignment="1" applyProtection="1">
      <alignment horizontal="center" vertical="center"/>
    </xf>
    <xf numFmtId="0" fontId="3" fillId="13" borderId="3" xfId="0" applyFont="1" applyFill="1" applyBorder="1" applyAlignment="1" applyProtection="1">
      <alignment horizontal="center" vertical="center"/>
    </xf>
    <xf numFmtId="0" fontId="0" fillId="13" borderId="4" xfId="0" applyFill="1" applyBorder="1" applyAlignment="1">
      <alignment horizontal="center" vertical="center"/>
    </xf>
    <xf numFmtId="0" fontId="21" fillId="3" borderId="14" xfId="0" applyFont="1" applyFill="1" applyBorder="1" applyAlignment="1" applyProtection="1">
      <alignment horizontal="center"/>
    </xf>
    <xf numFmtId="0" fontId="21" fillId="3" borderId="15" xfId="0" applyFont="1" applyFill="1" applyBorder="1" applyAlignment="1" applyProtection="1">
      <alignment horizontal="center"/>
    </xf>
    <xf numFmtId="0" fontId="0" fillId="0" borderId="16" xfId="0" applyBorder="1" applyAlignment="1" applyProtection="1"/>
    <xf numFmtId="13" fontId="5" fillId="0" borderId="1" xfId="0" applyNumberFormat="1" applyFont="1" applyBorder="1" applyAlignment="1" applyProtection="1">
      <alignment horizontal="center"/>
      <protection locked="0"/>
    </xf>
    <xf numFmtId="13" fontId="0" fillId="0" borderId="1" xfId="0" applyNumberFormat="1" applyBorder="1" applyAlignment="1" applyProtection="1">
      <protection locked="0"/>
    </xf>
    <xf numFmtId="13" fontId="5" fillId="0" borderId="31" xfId="0" applyNumberFormat="1" applyFont="1" applyBorder="1" applyAlignment="1" applyProtection="1">
      <alignment horizontal="center"/>
      <protection locked="0"/>
    </xf>
    <xf numFmtId="13" fontId="0" fillId="0" borderId="31" xfId="0" applyNumberFormat="1" applyBorder="1" applyAlignment="1" applyProtection="1">
      <protection locked="0"/>
    </xf>
    <xf numFmtId="2" fontId="23" fillId="0" borderId="35" xfId="0" applyNumberFormat="1" applyFont="1" applyBorder="1" applyAlignment="1" applyProtection="1">
      <alignment horizontal="right" vertical="top"/>
    </xf>
    <xf numFmtId="0" fontId="0" fillId="0" borderId="35" xfId="0" applyBorder="1" applyAlignment="1" applyProtection="1">
      <alignment vertical="top"/>
    </xf>
    <xf numFmtId="0" fontId="0" fillId="0" borderId="15" xfId="0" applyBorder="1" applyAlignment="1" applyProtection="1">
      <alignment horizontal="center"/>
    </xf>
    <xf numFmtId="0" fontId="5" fillId="0" borderId="1" xfId="0" applyFont="1" applyBorder="1" applyAlignment="1" applyProtection="1">
      <alignment horizontal="center"/>
    </xf>
    <xf numFmtId="0" fontId="0" fillId="0" borderId="1" xfId="0" applyBorder="1" applyAlignment="1" applyProtection="1"/>
    <xf numFmtId="0" fontId="5" fillId="0" borderId="1" xfId="0" applyFont="1"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5" fillId="0" borderId="1" xfId="0" applyFont="1" applyBorder="1" applyAlignment="1" applyProtection="1">
      <alignment horizontal="center" vertical="center"/>
      <protection locked="0"/>
    </xf>
    <xf numFmtId="0" fontId="0" fillId="0" borderId="29" xfId="0" applyBorder="1" applyAlignment="1" applyProtection="1">
      <protection locked="0"/>
    </xf>
    <xf numFmtId="0" fontId="5" fillId="0" borderId="1" xfId="0" applyFont="1" applyBorder="1" applyAlignment="1" applyProtection="1">
      <alignment horizontal="center" vertical="center"/>
    </xf>
    <xf numFmtId="0" fontId="0" fillId="0" borderId="29" xfId="0" applyBorder="1" applyAlignment="1" applyProtection="1"/>
    <xf numFmtId="0" fontId="0" fillId="0" borderId="44" xfId="0" applyFill="1" applyBorder="1" applyAlignment="1" applyProtection="1">
      <alignment horizontal="center" vertical="center"/>
    </xf>
    <xf numFmtId="0" fontId="0" fillId="0" borderId="45" xfId="0" applyFill="1" applyBorder="1" applyAlignment="1" applyProtection="1">
      <alignment horizontal="center" vertical="center"/>
    </xf>
    <xf numFmtId="0" fontId="0" fillId="0" borderId="46" xfId="0" applyFill="1" applyBorder="1" applyAlignment="1" applyProtection="1">
      <alignment horizontal="center" vertical="center"/>
    </xf>
    <xf numFmtId="0" fontId="0" fillId="0" borderId="47"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48" xfId="0" applyFill="1" applyBorder="1" applyAlignment="1" applyProtection="1">
      <alignment horizontal="center" vertical="center"/>
    </xf>
    <xf numFmtId="0" fontId="0" fillId="0" borderId="49" xfId="0" applyFill="1" applyBorder="1" applyAlignment="1" applyProtection="1">
      <alignment horizontal="center" vertical="center"/>
    </xf>
    <xf numFmtId="0" fontId="0" fillId="0" borderId="50" xfId="0" applyFill="1" applyBorder="1" applyAlignment="1" applyProtection="1">
      <alignment horizontal="center" vertical="center"/>
    </xf>
    <xf numFmtId="0" fontId="0" fillId="0" borderId="51" xfId="0" applyFill="1" applyBorder="1" applyAlignment="1" applyProtection="1">
      <alignment horizontal="center" vertical="center"/>
    </xf>
    <xf numFmtId="2" fontId="23" fillId="0" borderId="0" xfId="0" applyNumberFormat="1" applyFont="1" applyBorder="1" applyAlignment="1" applyProtection="1">
      <alignment horizontal="right" vertical="top"/>
    </xf>
    <xf numFmtId="0" fontId="0" fillId="0" borderId="0" xfId="0" applyBorder="1" applyAlignment="1" applyProtection="1">
      <alignment vertical="top"/>
    </xf>
    <xf numFmtId="0" fontId="5" fillId="0" borderId="8" xfId="0" applyFont="1" applyBorder="1" applyAlignment="1" applyProtection="1">
      <alignment horizontal="center" vertical="center"/>
    </xf>
    <xf numFmtId="0" fontId="21" fillId="3" borderId="0" xfId="0" applyFont="1" applyFill="1" applyAlignment="1" applyProtection="1">
      <alignment horizontal="left" vertical="center"/>
    </xf>
    <xf numFmtId="0" fontId="0" fillId="0" borderId="0" xfId="0" applyAlignment="1" applyProtection="1"/>
    <xf numFmtId="0" fontId="0" fillId="0" borderId="6" xfId="0" applyBorder="1" applyAlignment="1" applyProtection="1"/>
    <xf numFmtId="0" fontId="5" fillId="0" borderId="8" xfId="0" applyFont="1" applyBorder="1" applyAlignment="1" applyProtection="1">
      <protection locked="0"/>
    </xf>
    <xf numFmtId="0" fontId="5" fillId="5" borderId="11" xfId="0" applyFont="1" applyFill="1" applyBorder="1" applyAlignment="1" applyProtection="1">
      <protection locked="0"/>
    </xf>
    <xf numFmtId="0" fontId="0" fillId="0" borderId="12" xfId="0" applyBorder="1" applyAlignment="1" applyProtection="1">
      <protection locked="0"/>
    </xf>
    <xf numFmtId="0" fontId="5" fillId="5" borderId="5"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0" fillId="0" borderId="6" xfId="0" applyBorder="1" applyAlignment="1">
      <alignment horizontal="center" vertical="center"/>
    </xf>
    <xf numFmtId="0" fontId="0" fillId="0" borderId="10" xfId="0" applyBorder="1" applyAlignment="1" applyProtection="1">
      <protection locked="0"/>
    </xf>
    <xf numFmtId="0" fontId="6" fillId="0" borderId="5" xfId="0" applyFont="1" applyBorder="1" applyAlignment="1" applyProtection="1"/>
    <xf numFmtId="0" fontId="6" fillId="0" borderId="0" xfId="0" applyFont="1" applyBorder="1" applyAlignment="1" applyProtection="1"/>
    <xf numFmtId="0" fontId="6" fillId="0" borderId="0" xfId="0" applyFont="1" applyAlignment="1"/>
    <xf numFmtId="0" fontId="5" fillId="3" borderId="0" xfId="0" applyFont="1" applyFill="1" applyBorder="1" applyAlignment="1" applyProtection="1"/>
    <xf numFmtId="0" fontId="0" fillId="0" borderId="0" xfId="0" applyBorder="1" applyAlignment="1" applyProtection="1"/>
    <xf numFmtId="0" fontId="0" fillId="0" borderId="18" xfId="0" applyBorder="1" applyAlignment="1" applyProtection="1"/>
    <xf numFmtId="0" fontId="6" fillId="0" borderId="5" xfId="0" applyFont="1" applyBorder="1" applyAlignment="1" applyProtection="1">
      <alignment horizontal="left" wrapText="1"/>
    </xf>
    <xf numFmtId="0" fontId="0" fillId="0" borderId="0" xfId="0" applyAlignment="1"/>
    <xf numFmtId="0" fontId="21" fillId="3" borderId="14" xfId="0" applyFont="1" applyFill="1" applyBorder="1" applyAlignment="1" applyProtection="1">
      <alignment horizontal="center" vertical="center"/>
    </xf>
    <xf numFmtId="0" fontId="21" fillId="3" borderId="15" xfId="0" applyFont="1" applyFill="1"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5" fillId="0" borderId="22" xfId="0" applyFont="1" applyBorder="1" applyAlignment="1" applyProtection="1">
      <alignment horizontal="center" vertical="center"/>
    </xf>
    <xf numFmtId="0" fontId="5" fillId="0" borderId="26" xfId="0" applyFont="1" applyBorder="1" applyAlignment="1" applyProtection="1">
      <alignment horizontal="center" vertical="center"/>
    </xf>
    <xf numFmtId="0" fontId="5" fillId="14" borderId="11" xfId="0" applyFont="1" applyFill="1" applyBorder="1" applyAlignment="1" applyProtection="1">
      <protection locked="0"/>
    </xf>
    <xf numFmtId="0" fontId="5" fillId="14" borderId="10" xfId="0" applyFont="1" applyFill="1" applyBorder="1" applyAlignment="1" applyProtection="1">
      <protection locked="0"/>
    </xf>
    <xf numFmtId="0" fontId="5" fillId="14" borderId="12" xfId="0" applyFont="1" applyFill="1" applyBorder="1" applyAlignment="1" applyProtection="1">
      <protection locked="0"/>
    </xf>
    <xf numFmtId="0" fontId="0" fillId="5" borderId="12" xfId="0" applyFill="1" applyBorder="1" applyAlignment="1" applyProtection="1">
      <protection locked="0"/>
    </xf>
    <xf numFmtId="0" fontId="5" fillId="0" borderId="21" xfId="0" applyFont="1" applyBorder="1" applyAlignment="1" applyProtection="1">
      <alignment horizontal="center" vertical="center"/>
    </xf>
    <xf numFmtId="0" fontId="5"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21" fillId="3" borderId="19" xfId="0" applyFont="1" applyFill="1" applyBorder="1" applyAlignment="1" applyProtection="1">
      <alignment horizontal="center"/>
    </xf>
    <xf numFmtId="0" fontId="21" fillId="3" borderId="0" xfId="0" applyFont="1" applyFill="1" applyBorder="1" applyAlignment="1" applyProtection="1">
      <alignment horizontal="center"/>
    </xf>
    <xf numFmtId="0" fontId="5" fillId="0" borderId="27" xfId="0" applyFont="1" applyBorder="1" applyAlignment="1" applyProtection="1">
      <alignment horizontal="center" vertical="center"/>
    </xf>
    <xf numFmtId="0" fontId="25" fillId="5" borderId="2" xfId="0" applyFont="1" applyFill="1" applyBorder="1" applyAlignment="1" applyProtection="1">
      <alignment horizontal="center" vertical="center"/>
    </xf>
    <xf numFmtId="0" fontId="3" fillId="5" borderId="3" xfId="0" applyFont="1" applyFill="1" applyBorder="1" applyAlignment="1" applyProtection="1">
      <alignment horizontal="center" vertical="center"/>
    </xf>
    <xf numFmtId="0" fontId="0" fillId="0" borderId="4" xfId="0" applyBorder="1" applyAlignment="1">
      <alignment horizontal="center" vertical="center"/>
    </xf>
    <xf numFmtId="0" fontId="5" fillId="5" borderId="8" xfId="0" applyFont="1" applyFill="1" applyBorder="1" applyAlignment="1" applyProtection="1">
      <protection locked="0"/>
    </xf>
    <xf numFmtId="0" fontId="7" fillId="3" borderId="19" xfId="0" applyFont="1" applyFill="1" applyBorder="1" applyAlignment="1" applyProtection="1">
      <alignment horizontal="right"/>
    </xf>
    <xf numFmtId="0" fontId="13" fillId="0" borderId="0" xfId="0" applyFont="1" applyBorder="1" applyAlignment="1" applyProtection="1"/>
    <xf numFmtId="0" fontId="5" fillId="5" borderId="1" xfId="0" applyFont="1" applyFill="1" applyBorder="1" applyAlignment="1" applyProtection="1">
      <protection locked="0"/>
    </xf>
    <xf numFmtId="0" fontId="0" fillId="0" borderId="1" xfId="0" applyBorder="1" applyAlignment="1" applyProtection="1">
      <protection locked="0"/>
    </xf>
    <xf numFmtId="13" fontId="5" fillId="0" borderId="31" xfId="0" applyNumberFormat="1" applyFont="1" applyBorder="1" applyAlignment="1" applyProtection="1">
      <alignment horizontal="center" vertical="center"/>
      <protection locked="0"/>
    </xf>
    <xf numFmtId="13" fontId="5" fillId="0" borderId="1" xfId="0" applyNumberFormat="1" applyFont="1" applyBorder="1" applyAlignment="1" applyProtection="1">
      <alignment horizontal="center" vertical="center"/>
      <protection locked="0"/>
    </xf>
    <xf numFmtId="0" fontId="5" fillId="0" borderId="24"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5" borderId="1" xfId="0" applyFont="1" applyFill="1" applyBorder="1" applyProtection="1">
      <protection locked="0"/>
    </xf>
    <xf numFmtId="0" fontId="0" fillId="0" borderId="16" xfId="0" applyBorder="1" applyAlignment="1" applyProtection="1">
      <alignment horizontal="center"/>
    </xf>
    <xf numFmtId="0" fontId="7" fillId="3" borderId="17" xfId="0" applyFont="1" applyFill="1" applyBorder="1" applyAlignment="1" applyProtection="1">
      <alignment horizontal="right"/>
    </xf>
    <xf numFmtId="0" fontId="13" fillId="0" borderId="8" xfId="0" applyFont="1" applyBorder="1" applyAlignment="1" applyProtection="1">
      <alignment horizontal="right"/>
    </xf>
    <xf numFmtId="49" fontId="5" fillId="14" borderId="11" xfId="0" applyNumberFormat="1" applyFont="1" applyFill="1" applyBorder="1" applyAlignment="1" applyProtection="1">
      <protection locked="0"/>
    </xf>
    <xf numFmtId="49" fontId="5" fillId="14" borderId="10" xfId="0" applyNumberFormat="1" applyFont="1" applyFill="1" applyBorder="1" applyAlignment="1" applyProtection="1">
      <protection locked="0"/>
    </xf>
    <xf numFmtId="49" fontId="5" fillId="14" borderId="12" xfId="0" applyNumberFormat="1" applyFont="1" applyFill="1" applyBorder="1" applyAlignment="1" applyProtection="1">
      <protection locked="0"/>
    </xf>
    <xf numFmtId="0" fontId="5" fillId="0" borderId="11" xfId="0" applyFont="1" applyBorder="1" applyAlignment="1" applyProtection="1">
      <alignment horizontal="center" vertical="center"/>
    </xf>
    <xf numFmtId="0" fontId="0" fillId="0" borderId="10" xfId="0" applyBorder="1" applyAlignment="1" applyProtection="1"/>
    <xf numFmtId="0" fontId="0" fillId="0" borderId="39" xfId="0" applyBorder="1" applyAlignment="1" applyProtection="1"/>
    <xf numFmtId="0" fontId="0" fillId="0" borderId="15" xfId="0" applyBorder="1" applyAlignment="1" applyProtection="1"/>
    <xf numFmtId="0" fontId="5" fillId="5" borderId="0" xfId="0" applyFont="1" applyFill="1" applyBorder="1" applyAlignment="1" applyProtection="1">
      <protection locked="0"/>
    </xf>
    <xf numFmtId="0" fontId="0" fillId="0" borderId="18" xfId="0" applyBorder="1" applyAlignment="1" applyProtection="1">
      <protection locked="0"/>
    </xf>
    <xf numFmtId="0" fontId="5" fillId="0" borderId="11" xfId="0" applyFont="1" applyBorder="1" applyAlignment="1" applyProtection="1">
      <alignment horizontal="left" vertical="center"/>
      <protection locked="0"/>
    </xf>
    <xf numFmtId="0" fontId="0" fillId="0" borderId="39" xfId="0" applyBorder="1" applyAlignment="1" applyProtection="1">
      <protection locked="0"/>
    </xf>
    <xf numFmtId="0" fontId="0" fillId="0" borderId="12" xfId="0" applyBorder="1" applyAlignment="1" applyProtection="1">
      <alignment horizontal="center" vertical="center"/>
    </xf>
    <xf numFmtId="0" fontId="5" fillId="0" borderId="31" xfId="0" applyFont="1"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0" fillId="0" borderId="29" xfId="0" applyBorder="1" applyAlignment="1" applyProtection="1">
      <alignment horizontal="center" vertical="center"/>
    </xf>
    <xf numFmtId="13" fontId="5" fillId="0" borderId="40" xfId="0" applyNumberFormat="1" applyFont="1" applyBorder="1" applyAlignment="1" applyProtection="1">
      <alignment horizontal="center" vertical="center"/>
      <protection locked="0"/>
    </xf>
    <xf numFmtId="13" fontId="0" fillId="0" borderId="41" xfId="0" applyNumberFormat="1" applyBorder="1" applyAlignment="1" applyProtection="1">
      <alignment horizontal="center" vertical="center"/>
      <protection locked="0"/>
    </xf>
    <xf numFmtId="0" fontId="1" fillId="0" borderId="2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23" xfId="0" applyFont="1" applyBorder="1" applyAlignment="1" applyProtection="1">
      <alignment horizontal="center" vertical="center"/>
    </xf>
    <xf numFmtId="0" fontId="1" fillId="0" borderId="1" xfId="0" applyFont="1" applyBorder="1" applyAlignment="1" applyProtection="1">
      <alignment horizontal="center" vertical="center"/>
    </xf>
    <xf numFmtId="0" fontId="5" fillId="5" borderId="12" xfId="0" applyFont="1" applyFill="1" applyBorder="1" applyAlignment="1" applyProtection="1">
      <protection locked="0"/>
    </xf>
    <xf numFmtId="0" fontId="5" fillId="0" borderId="25" xfId="0" applyFont="1" applyBorder="1" applyAlignment="1" applyProtection="1">
      <alignment horizontal="center" vertical="center"/>
    </xf>
    <xf numFmtId="0" fontId="5" fillId="0" borderId="8" xfId="0" applyFont="1" applyFill="1" applyBorder="1" applyAlignment="1" applyProtection="1"/>
    <xf numFmtId="0" fontId="5" fillId="5" borderId="7" xfId="0" applyFont="1" applyFill="1" applyBorder="1" applyAlignment="1" applyProtection="1">
      <alignment horizontal="center" vertical="center"/>
    </xf>
    <xf numFmtId="0" fontId="5" fillId="5" borderId="8" xfId="0" applyFont="1" applyFill="1" applyBorder="1" applyAlignment="1" applyProtection="1">
      <alignment horizontal="center" vertical="center"/>
    </xf>
    <xf numFmtId="0" fontId="5" fillId="5" borderId="9" xfId="0"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2" fillId="2" borderId="2" xfId="0" applyFont="1" applyFill="1" applyBorder="1" applyAlignment="1" applyProtection="1">
      <alignment horizontal="center" vertical="center"/>
    </xf>
    <xf numFmtId="0" fontId="0" fillId="0" borderId="3" xfId="0" applyBorder="1" applyAlignment="1" applyProtection="1"/>
    <xf numFmtId="0" fontId="0" fillId="0" borderId="4" xfId="0" applyBorder="1" applyAlignment="1" applyProtection="1"/>
    <xf numFmtId="0" fontId="9" fillId="2" borderId="5" xfId="0" applyFont="1" applyFill="1" applyBorder="1" applyAlignment="1" applyProtection="1">
      <alignment horizontal="center" vertical="center"/>
    </xf>
    <xf numFmtId="0" fontId="5" fillId="0" borderId="1" xfId="0" applyFont="1" applyBorder="1" applyAlignment="1" applyProtection="1">
      <alignment horizontal="right" vertical="center"/>
    </xf>
    <xf numFmtId="0" fontId="9" fillId="2" borderId="7" xfId="0" applyFont="1" applyFill="1" applyBorder="1" applyAlignment="1" applyProtection="1">
      <alignment horizontal="center" vertical="center"/>
    </xf>
    <xf numFmtId="0" fontId="0" fillId="0" borderId="8" xfId="0" applyBorder="1" applyAlignment="1" applyProtection="1"/>
    <xf numFmtId="0" fontId="0" fillId="0" borderId="9" xfId="0" applyBorder="1" applyAlignment="1" applyProtection="1"/>
    <xf numFmtId="0" fontId="25" fillId="4" borderId="0" xfId="0" applyFont="1" applyFill="1" applyAlignment="1" applyProtection="1">
      <alignment horizontal="center" vertical="center"/>
    </xf>
    <xf numFmtId="0" fontId="5" fillId="0" borderId="0" xfId="0" applyFont="1" applyAlignment="1" applyProtection="1"/>
    <xf numFmtId="0" fontId="21" fillId="3" borderId="0" xfId="0" applyFont="1" applyFill="1" applyAlignment="1" applyProtection="1">
      <alignment horizontal="left" wrapText="1"/>
    </xf>
    <xf numFmtId="15" fontId="5" fillId="0" borderId="8" xfId="0" applyNumberFormat="1" applyFont="1" applyBorder="1" applyAlignment="1" applyProtection="1">
      <alignment horizontal="left"/>
      <protection locked="0"/>
    </xf>
    <xf numFmtId="0" fontId="21" fillId="3" borderId="0" xfId="0" applyFont="1" applyFill="1" applyBorder="1" applyAlignment="1" applyProtection="1">
      <alignment horizontal="left" vertical="center"/>
    </xf>
    <xf numFmtId="15" fontId="5" fillId="0" borderId="1" xfId="0" applyNumberFormat="1" applyFont="1" applyBorder="1" applyAlignment="1" applyProtection="1">
      <alignment horizontal="left" vertical="center"/>
      <protection locked="0"/>
    </xf>
    <xf numFmtId="0" fontId="21" fillId="3" borderId="0" xfId="0" applyFont="1" applyFill="1" applyAlignment="1" applyProtection="1">
      <alignment horizontal="left"/>
    </xf>
    <xf numFmtId="0" fontId="5" fillId="0" borderId="8"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9" fillId="0" borderId="0" xfId="0" applyFont="1" applyAlignment="1" applyProtection="1">
      <alignment wrapText="1"/>
    </xf>
    <xf numFmtId="0" fontId="0" fillId="0" borderId="35" xfId="0" applyBorder="1" applyAlignment="1" applyProtection="1"/>
    <xf numFmtId="0" fontId="0" fillId="0" borderId="8" xfId="0" applyBorder="1" applyAlignment="1" applyProtection="1">
      <alignment horizontal="left" vertical="center"/>
      <protection locked="0"/>
    </xf>
    <xf numFmtId="0" fontId="0" fillId="0" borderId="8" xfId="0" applyBorder="1" applyAlignment="1" applyProtection="1">
      <protection locked="0"/>
    </xf>
    <xf numFmtId="0" fontId="0" fillId="0" borderId="10" xfId="0" applyBorder="1" applyAlignment="1" applyProtection="1">
      <alignment horizontal="left" vertical="center"/>
      <protection locked="0"/>
    </xf>
    <xf numFmtId="0" fontId="5" fillId="0" borderId="40" xfId="0" applyFont="1" applyBorder="1" applyAlignment="1" applyProtection="1">
      <alignment horizontal="left" vertical="center"/>
      <protection locked="0"/>
    </xf>
    <xf numFmtId="0" fontId="0" fillId="0" borderId="42" xfId="0" applyBorder="1" applyAlignment="1" applyProtection="1">
      <protection locked="0"/>
    </xf>
    <xf numFmtId="0" fontId="0" fillId="0" borderId="43" xfId="0" applyBorder="1" applyAlignment="1" applyProtection="1">
      <protection locked="0"/>
    </xf>
    <xf numFmtId="0" fontId="5" fillId="0" borderId="10" xfId="0" applyFont="1" applyBorder="1" applyAlignment="1" applyProtection="1">
      <protection locked="0"/>
    </xf>
    <xf numFmtId="0" fontId="0" fillId="0" borderId="0" xfId="0" applyBorder="1" applyAlignment="1" applyProtection="1">
      <alignment horizontal="left" vertical="center"/>
    </xf>
    <xf numFmtId="2" fontId="23" fillId="0" borderId="0" xfId="0" applyNumberFormat="1" applyFont="1" applyAlignment="1" applyProtection="1">
      <alignment horizontal="right" vertical="top"/>
    </xf>
    <xf numFmtId="0" fontId="5" fillId="0" borderId="0" xfId="0" applyFont="1" applyBorder="1" applyAlignment="1" applyProtection="1"/>
    <xf numFmtId="0" fontId="7" fillId="3" borderId="19" xfId="0" applyFont="1" applyFill="1" applyBorder="1" applyAlignment="1" applyProtection="1">
      <alignment horizontal="right" vertical="center"/>
    </xf>
    <xf numFmtId="13" fontId="5" fillId="0" borderId="11" xfId="0" applyNumberFormat="1" applyFont="1" applyBorder="1" applyAlignment="1" applyProtection="1">
      <alignment horizontal="center" vertical="center"/>
      <protection locked="0"/>
    </xf>
    <xf numFmtId="13" fontId="0" fillId="0" borderId="12" xfId="0" applyNumberFormat="1" applyBorder="1" applyAlignment="1" applyProtection="1">
      <alignment horizontal="center" vertical="center"/>
      <protection locked="0"/>
    </xf>
    <xf numFmtId="0" fontId="25" fillId="0" borderId="0" xfId="0" applyFont="1" applyBorder="1" applyAlignment="1" applyProtection="1"/>
    <xf numFmtId="0" fontId="21" fillId="3" borderId="36" xfId="0" applyFont="1" applyFill="1" applyBorder="1" applyAlignment="1" applyProtection="1">
      <alignment horizontal="center" vertical="center"/>
    </xf>
    <xf numFmtId="0" fontId="0" fillId="0" borderId="37" xfId="0" applyBorder="1" applyAlignment="1" applyProtection="1"/>
    <xf numFmtId="0" fontId="0" fillId="0" borderId="38" xfId="0" applyBorder="1" applyAlignment="1" applyProtection="1"/>
    <xf numFmtId="0" fontId="5" fillId="0" borderId="40" xfId="0" applyFont="1" applyBorder="1" applyAlignment="1" applyProtection="1"/>
    <xf numFmtId="0" fontId="0" fillId="0" borderId="42" xfId="0" applyBorder="1" applyAlignment="1" applyProtection="1"/>
    <xf numFmtId="0" fontId="0" fillId="0" borderId="43" xfId="0" applyBorder="1" applyAlignment="1" applyProtection="1"/>
    <xf numFmtId="1" fontId="5" fillId="0" borderId="21" xfId="0" applyNumberFormat="1" applyFont="1" applyBorder="1" applyAlignment="1" applyProtection="1">
      <alignment horizontal="center" vertical="center"/>
    </xf>
    <xf numFmtId="0" fontId="5" fillId="0" borderId="2" xfId="0" applyFont="1" applyBorder="1" applyAlignment="1" applyProtection="1">
      <alignment horizontal="center" vertical="center"/>
    </xf>
    <xf numFmtId="0" fontId="0" fillId="0" borderId="33" xfId="0" applyBorder="1" applyAlignment="1" applyProtection="1">
      <alignment horizontal="center" vertical="center"/>
    </xf>
    <xf numFmtId="0" fontId="0" fillId="0" borderId="7" xfId="0" applyBorder="1" applyAlignment="1" applyProtection="1">
      <alignment horizontal="center" vertical="center"/>
    </xf>
    <xf numFmtId="0" fontId="0" fillId="0" borderId="34" xfId="0" applyBorder="1" applyAlignment="1" applyProtection="1">
      <alignment horizontal="center" vertical="center"/>
    </xf>
    <xf numFmtId="0" fontId="0" fillId="0" borderId="25" xfId="0" applyBorder="1" applyAlignment="1" applyProtection="1">
      <alignment horizontal="center" vertical="center"/>
    </xf>
    <xf numFmtId="0" fontId="5" fillId="13" borderId="5" xfId="0" applyFont="1" applyFill="1" applyBorder="1" applyAlignment="1" applyProtection="1">
      <alignment horizontal="center" vertical="center"/>
    </xf>
    <xf numFmtId="0" fontId="5" fillId="13" borderId="0" xfId="0" applyFont="1" applyFill="1" applyBorder="1" applyAlignment="1" applyProtection="1">
      <alignment horizontal="center" vertical="center"/>
    </xf>
    <xf numFmtId="0" fontId="5" fillId="13" borderId="6" xfId="0" applyFont="1" applyFill="1" applyBorder="1" applyAlignment="1" applyProtection="1">
      <alignment horizontal="center" vertical="center"/>
    </xf>
    <xf numFmtId="0" fontId="5" fillId="13" borderId="7" xfId="0" applyFont="1" applyFill="1" applyBorder="1" applyAlignment="1" applyProtection="1">
      <alignment horizontal="center" vertical="center"/>
    </xf>
    <xf numFmtId="0" fontId="0" fillId="13" borderId="8" xfId="0" applyFill="1" applyBorder="1" applyAlignment="1" applyProtection="1">
      <alignment horizontal="center" vertical="center"/>
    </xf>
    <xf numFmtId="0" fontId="0" fillId="13" borderId="9" xfId="0" applyFill="1" applyBorder="1" applyAlignment="1">
      <alignment horizontal="center" vertical="center"/>
    </xf>
    <xf numFmtId="1" fontId="5" fillId="0" borderId="13" xfId="0" applyNumberFormat="1" applyFont="1" applyBorder="1" applyAlignment="1" applyProtection="1">
      <alignment horizontal="center" vertical="center"/>
    </xf>
    <xf numFmtId="0" fontId="5" fillId="0" borderId="31" xfId="0" applyFont="1" applyBorder="1" applyAlignment="1" applyProtection="1">
      <alignment horizontal="center" vertical="center"/>
      <protection locked="0"/>
    </xf>
    <xf numFmtId="0" fontId="0" fillId="0" borderId="32" xfId="0" applyBorder="1" applyAlignment="1" applyProtection="1">
      <protection locked="0"/>
    </xf>
    <xf numFmtId="0" fontId="0" fillId="0" borderId="37" xfId="0" applyBorder="1" applyAlignment="1" applyProtection="1">
      <alignment horizontal="center" vertical="center"/>
    </xf>
    <xf numFmtId="0" fontId="0" fillId="0" borderId="38" xfId="0" applyBorder="1" applyAlignment="1" applyProtection="1">
      <alignment horizontal="center" vertical="center"/>
    </xf>
    <xf numFmtId="0" fontId="12"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xf>
    <xf numFmtId="0" fontId="0" fillId="6" borderId="0" xfId="0" applyFill="1" applyAlignment="1">
      <alignment horizontal="center" vertical="center"/>
    </xf>
    <xf numFmtId="0" fontId="0" fillId="8" borderId="0" xfId="0" applyFill="1" applyAlignment="1">
      <alignment horizontal="center" vertical="center"/>
    </xf>
    <xf numFmtId="0" fontId="0" fillId="7" borderId="0" xfId="0" applyFill="1" applyAlignment="1">
      <alignment horizontal="center" vertical="center"/>
    </xf>
    <xf numFmtId="0" fontId="0" fillId="10" borderId="0" xfId="0" applyFill="1" applyAlignment="1">
      <alignment horizontal="center" vertical="center"/>
    </xf>
    <xf numFmtId="0" fontId="0" fillId="12" borderId="11" xfId="0" applyFill="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11" borderId="0" xfId="0" applyFill="1" applyAlignment="1">
      <alignment horizontal="center" vertical="center"/>
    </xf>
    <xf numFmtId="0" fontId="0" fillId="6" borderId="0" xfId="0" applyFill="1" applyAlignment="1">
      <alignment horizontal="center" vertical="center" textRotation="90"/>
    </xf>
    <xf numFmtId="0" fontId="0" fillId="0" borderId="0" xfId="0" applyAlignment="1">
      <alignment horizontal="left" vertical="center"/>
    </xf>
    <xf numFmtId="0" fontId="0" fillId="4" borderId="0" xfId="0" applyFill="1" applyAlignment="1">
      <alignment horizontal="center" vertical="center"/>
    </xf>
    <xf numFmtId="0" fontId="0" fillId="8" borderId="0" xfId="0" applyFill="1" applyAlignment="1">
      <alignment horizontal="center" vertical="center" textRotation="90"/>
    </xf>
    <xf numFmtId="0" fontId="0" fillId="0" borderId="0" xfId="0" applyAlignment="1">
      <alignment horizontal="center" vertical="center" textRotation="90"/>
    </xf>
    <xf numFmtId="0" fontId="0" fillId="0" borderId="0" xfId="0" applyAlignment="1">
      <alignment horizontal="center" vertical="center" textRotation="90" shrinkToFit="1"/>
    </xf>
    <xf numFmtId="0" fontId="0" fillId="9" borderId="0" xfId="0" applyFill="1" applyAlignment="1">
      <alignment horizontal="center" vertical="center" textRotation="90"/>
    </xf>
    <xf numFmtId="0" fontId="0" fillId="0" borderId="1" xfId="0" applyBorder="1" applyAlignment="1" applyProtection="1">
      <alignment horizontal="center" wrapText="1"/>
    </xf>
    <xf numFmtId="0" fontId="0" fillId="0" borderId="29" xfId="0" applyBorder="1" applyAlignment="1" applyProtection="1">
      <alignment horizontal="center" wrapText="1"/>
    </xf>
    <xf numFmtId="0" fontId="3" fillId="0" borderId="61" xfId="0" applyFont="1" applyBorder="1" applyAlignment="1" applyProtection="1">
      <alignment horizontal="center" vertical="center"/>
    </xf>
    <xf numFmtId="0" fontId="3" fillId="0" borderId="62" xfId="0" applyFont="1" applyBorder="1" applyAlignment="1" applyProtection="1">
      <alignment horizontal="center" vertical="center"/>
    </xf>
    <xf numFmtId="0" fontId="0" fillId="0" borderId="62" xfId="0" applyBorder="1" applyAlignment="1" applyProtection="1"/>
    <xf numFmtId="0" fontId="0" fillId="0" borderId="63" xfId="0" applyBorder="1" applyAlignment="1" applyProtection="1"/>
    <xf numFmtId="0" fontId="0" fillId="0" borderId="11" xfId="0" applyBorder="1" applyAlignment="1" applyProtection="1">
      <alignment horizontal="center" vertical="center"/>
    </xf>
    <xf numFmtId="0" fontId="0" fillId="0" borderId="10" xfId="0" applyBorder="1" applyAlignment="1" applyProtection="1">
      <alignment horizontal="center" vertical="center"/>
    </xf>
    <xf numFmtId="1" fontId="0" fillId="0" borderId="21" xfId="0" applyNumberFormat="1" applyBorder="1" applyAlignment="1" applyProtection="1"/>
    <xf numFmtId="1" fontId="0" fillId="0" borderId="13" xfId="0" applyNumberFormat="1" applyBorder="1" applyAlignment="1" applyProtection="1"/>
    <xf numFmtId="0" fontId="0" fillId="0" borderId="0" xfId="0" applyAlignment="1" applyProtection="1">
      <alignment wrapText="1"/>
    </xf>
    <xf numFmtId="0" fontId="0" fillId="0" borderId="19" xfId="0" applyBorder="1" applyAlignment="1" applyProtection="1"/>
    <xf numFmtId="0" fontId="12" fillId="0" borderId="0" xfId="0" applyFont="1" applyAlignment="1" applyProtection="1">
      <alignment horizontal="center"/>
    </xf>
    <xf numFmtId="0" fontId="8" fillId="3" borderId="14" xfId="0" applyFont="1" applyFill="1" applyBorder="1" applyAlignment="1" applyProtection="1">
      <alignment horizontal="center" vertical="center"/>
    </xf>
    <xf numFmtId="0" fontId="8" fillId="3" borderId="15" xfId="0" applyFont="1" applyFill="1" applyBorder="1" applyAlignment="1" applyProtection="1">
      <alignment horizontal="center" vertical="center"/>
    </xf>
    <xf numFmtId="0" fontId="15" fillId="0" borderId="15" xfId="0" applyFont="1" applyBorder="1" applyAlignment="1" applyProtection="1">
      <alignment horizontal="center" vertical="center"/>
    </xf>
    <xf numFmtId="0" fontId="15" fillId="0" borderId="16" xfId="0" applyFont="1" applyBorder="1" applyAlignment="1" applyProtection="1">
      <alignment horizontal="center" vertical="center"/>
    </xf>
    <xf numFmtId="0" fontId="19" fillId="3" borderId="14" xfId="0" applyFont="1" applyFill="1" applyBorder="1" applyAlignment="1" applyProtection="1">
      <alignment horizontal="center" vertical="center"/>
    </xf>
    <xf numFmtId="0" fontId="22" fillId="0" borderId="15" xfId="0" applyFont="1" applyBorder="1" applyAlignment="1" applyProtection="1">
      <alignment horizontal="center"/>
    </xf>
    <xf numFmtId="0" fontId="22" fillId="0" borderId="16" xfId="0" applyFont="1" applyBorder="1" applyAlignment="1" applyProtection="1">
      <alignment horizontal="center"/>
    </xf>
    <xf numFmtId="0" fontId="8" fillId="3" borderId="16" xfId="0" applyFont="1" applyFill="1" applyBorder="1" applyAlignment="1" applyProtection="1">
      <alignment horizontal="center" vertical="center"/>
    </xf>
    <xf numFmtId="0" fontId="0" fillId="0" borderId="1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0" xfId="0" applyBorder="1" applyAlignment="1" applyProtection="1">
      <alignment horizontal="center" vertical="center" wrapText="1"/>
    </xf>
    <xf numFmtId="0" fontId="8" fillId="3" borderId="17" xfId="0" applyFont="1" applyFill="1" applyBorder="1" applyAlignment="1" applyProtection="1">
      <alignment horizontal="right"/>
    </xf>
    <xf numFmtId="0" fontId="15" fillId="0" borderId="8" xfId="0" applyFont="1" applyBorder="1" applyAlignment="1" applyProtection="1">
      <alignment horizontal="right"/>
    </xf>
    <xf numFmtId="0" fontId="15" fillId="0" borderId="8" xfId="0" applyFont="1" applyBorder="1" applyAlignment="1" applyProtection="1"/>
    <xf numFmtId="0" fontId="19" fillId="3" borderId="19" xfId="0" applyFont="1" applyFill="1" applyBorder="1" applyAlignment="1" applyProtection="1">
      <alignment horizontal="right"/>
    </xf>
    <xf numFmtId="0" fontId="22" fillId="0" borderId="0" xfId="0" applyFont="1" applyBorder="1" applyAlignment="1" applyProtection="1"/>
    <xf numFmtId="0" fontId="22" fillId="0" borderId="8" xfId="0" applyFont="1" applyBorder="1" applyAlignment="1" applyProtection="1"/>
    <xf numFmtId="0" fontId="8" fillId="3" borderId="19" xfId="0" applyFont="1" applyFill="1" applyBorder="1" applyAlignment="1" applyProtection="1">
      <alignment horizontal="center" vertical="center"/>
    </xf>
    <xf numFmtId="0" fontId="8" fillId="3" borderId="0" xfId="0" applyFont="1" applyFill="1" applyBorder="1" applyAlignment="1" applyProtection="1">
      <alignment horizontal="center" vertical="center"/>
    </xf>
    <xf numFmtId="0" fontId="8" fillId="3" borderId="18" xfId="0" applyFont="1" applyFill="1" applyBorder="1" applyAlignment="1" applyProtection="1">
      <alignment horizontal="center" vertical="center"/>
    </xf>
    <xf numFmtId="0" fontId="15" fillId="0" borderId="20" xfId="0" applyFont="1" applyBorder="1" applyAlignment="1" applyProtection="1">
      <alignment horizontal="center" vertical="center"/>
    </xf>
    <xf numFmtId="0" fontId="15" fillId="0" borderId="12" xfId="0" applyFont="1" applyBorder="1" applyAlignment="1" applyProtection="1">
      <alignment horizontal="center" vertical="center"/>
    </xf>
    <xf numFmtId="0" fontId="15" fillId="0" borderId="23" xfId="0" applyFont="1" applyBorder="1" applyAlignment="1" applyProtection="1">
      <alignment horizontal="center" vertical="center"/>
    </xf>
    <xf numFmtId="0" fontId="15" fillId="0" borderId="1" xfId="0" applyFont="1" applyBorder="1" applyAlignment="1" applyProtection="1"/>
    <xf numFmtId="0" fontId="15" fillId="0" borderId="20" xfId="0" applyFont="1" applyBorder="1" applyAlignment="1" applyProtection="1"/>
    <xf numFmtId="0" fontId="15" fillId="0" borderId="12" xfId="0" applyFont="1" applyBorder="1" applyAlignment="1" applyProtection="1"/>
    <xf numFmtId="0" fontId="15" fillId="0" borderId="23" xfId="0" applyFont="1" applyBorder="1" applyAlignment="1" applyProtection="1"/>
    <xf numFmtId="0" fontId="8" fillId="3" borderId="8" xfId="0" applyFont="1" applyFill="1" applyBorder="1" applyAlignment="1" applyProtection="1">
      <alignment horizontal="right"/>
    </xf>
    <xf numFmtId="0" fontId="19" fillId="3" borderId="15" xfId="0" applyFont="1" applyFill="1" applyBorder="1" applyAlignment="1" applyProtection="1">
      <alignment horizontal="center" vertical="center"/>
    </xf>
    <xf numFmtId="0" fontId="19" fillId="3" borderId="16" xfId="0" applyFont="1" applyFill="1" applyBorder="1" applyAlignment="1" applyProtection="1">
      <alignment horizontal="center" vertical="center"/>
    </xf>
    <xf numFmtId="0" fontId="22" fillId="0" borderId="15" xfId="0" applyFont="1" applyBorder="1" applyAlignment="1" applyProtection="1">
      <alignment horizontal="center" vertical="center"/>
    </xf>
    <xf numFmtId="0" fontId="22" fillId="0" borderId="16" xfId="0" applyFont="1" applyBorder="1" applyAlignment="1" applyProtection="1">
      <alignment horizontal="center" vertical="center"/>
    </xf>
    <xf numFmtId="0" fontId="15" fillId="3" borderId="0" xfId="0" applyFont="1" applyFill="1" applyBorder="1" applyAlignment="1" applyProtection="1"/>
    <xf numFmtId="0" fontId="15" fillId="0" borderId="0" xfId="0" applyFont="1" applyBorder="1" applyAlignment="1" applyProtection="1"/>
    <xf numFmtId="0" fontId="15" fillId="0" borderId="18" xfId="0" applyFont="1" applyBorder="1" applyAlignment="1" applyProtection="1"/>
    <xf numFmtId="1" fontId="15" fillId="0" borderId="1" xfId="0" applyNumberFormat="1" applyFont="1" applyBorder="1" applyAlignment="1" applyProtection="1">
      <alignment horizontal="center"/>
    </xf>
    <xf numFmtId="1" fontId="15" fillId="0" borderId="29" xfId="0" applyNumberFormat="1" applyFont="1" applyBorder="1" applyAlignment="1" applyProtection="1">
      <alignment horizontal="center"/>
    </xf>
    <xf numFmtId="0" fontId="15" fillId="0" borderId="10" xfId="0" applyFont="1" applyBorder="1" applyAlignment="1" applyProtection="1"/>
    <xf numFmtId="0" fontId="15" fillId="0" borderId="39" xfId="0" applyFont="1" applyBorder="1" applyAlignment="1" applyProtection="1"/>
    <xf numFmtId="0" fontId="15" fillId="0" borderId="29" xfId="0" applyFont="1" applyBorder="1" applyAlignment="1" applyProtection="1"/>
    <xf numFmtId="0" fontId="15" fillId="0" borderId="11" xfId="0" applyFont="1" applyBorder="1" applyAlignment="1" applyProtection="1">
      <alignment horizontal="center" vertical="center"/>
    </xf>
    <xf numFmtId="0" fontId="15" fillId="0" borderId="10" xfId="0" applyFont="1" applyBorder="1" applyAlignment="1" applyProtection="1">
      <alignment horizontal="center" vertical="center"/>
    </xf>
    <xf numFmtId="0" fontId="15" fillId="0" borderId="39" xfId="0" applyFont="1" applyBorder="1" applyAlignment="1" applyProtection="1">
      <alignment horizontal="center" vertical="center"/>
    </xf>
    <xf numFmtId="0" fontId="15" fillId="0" borderId="11" xfId="0" applyFont="1" applyBorder="1" applyAlignment="1" applyProtection="1"/>
    <xf numFmtId="1" fontId="15" fillId="0" borderId="11" xfId="0" applyNumberFormat="1" applyFont="1" applyBorder="1" applyAlignment="1" applyProtection="1">
      <alignment horizontal="center"/>
    </xf>
    <xf numFmtId="1" fontId="15" fillId="0" borderId="12" xfId="0" applyNumberFormat="1" applyFont="1" applyBorder="1" applyAlignment="1" applyProtection="1">
      <alignment horizontal="center"/>
    </xf>
    <xf numFmtId="0" fontId="19" fillId="3" borderId="36" xfId="0" applyFont="1" applyFill="1" applyBorder="1" applyAlignment="1" applyProtection="1">
      <alignment horizontal="center" vertical="center"/>
    </xf>
    <xf numFmtId="0" fontId="22" fillId="0" borderId="37" xfId="0" applyFont="1" applyBorder="1" applyAlignment="1" applyProtection="1">
      <alignment horizontal="center" vertical="center"/>
    </xf>
    <xf numFmtId="0" fontId="22" fillId="0" borderId="38" xfId="0" applyFont="1" applyBorder="1" applyAlignment="1" applyProtection="1">
      <alignment horizontal="center" vertical="center"/>
    </xf>
    <xf numFmtId="0" fontId="8" fillId="3" borderId="36" xfId="0" applyFont="1" applyFill="1" applyBorder="1" applyAlignment="1" applyProtection="1">
      <alignment horizontal="center" vertical="center"/>
    </xf>
    <xf numFmtId="0" fontId="15" fillId="0" borderId="37" xfId="0" applyFont="1" applyBorder="1" applyAlignment="1" applyProtection="1">
      <alignment horizontal="center" vertical="center"/>
    </xf>
    <xf numFmtId="0" fontId="15" fillId="0" borderId="38" xfId="0" applyFont="1" applyBorder="1" applyAlignment="1" applyProtection="1">
      <alignment horizontal="center" vertical="center"/>
    </xf>
    <xf numFmtId="0" fontId="15" fillId="0" borderId="37" xfId="0" applyFont="1" applyBorder="1" applyAlignment="1" applyProtection="1"/>
    <xf numFmtId="0" fontId="15" fillId="0" borderId="38" xfId="0" applyFont="1" applyBorder="1" applyAlignment="1" applyProtection="1"/>
    <xf numFmtId="0" fontId="22" fillId="0" borderId="11" xfId="0" applyFont="1" applyBorder="1" applyAlignment="1" applyProtection="1">
      <alignment horizontal="center" vertical="center"/>
    </xf>
    <xf numFmtId="0" fontId="22" fillId="0" borderId="12" xfId="0" applyFont="1" applyBorder="1" applyAlignment="1" applyProtection="1">
      <alignment horizontal="center" vertical="center"/>
    </xf>
    <xf numFmtId="0" fontId="22" fillId="0" borderId="10" xfId="0" applyFont="1" applyBorder="1" applyAlignment="1" applyProtection="1">
      <alignment horizontal="center" vertical="center"/>
    </xf>
    <xf numFmtId="0" fontId="22" fillId="0" borderId="39" xfId="0" applyFont="1" applyBorder="1" applyAlignment="1" applyProtection="1">
      <alignment horizontal="center" vertical="center"/>
    </xf>
    <xf numFmtId="0" fontId="15" fillId="0" borderId="1" xfId="0" applyFont="1" applyBorder="1" applyAlignment="1" applyProtection="1">
      <alignment horizontal="center" vertical="center"/>
    </xf>
    <xf numFmtId="0" fontId="15" fillId="0" borderId="29" xfId="0" applyFont="1" applyBorder="1" applyAlignment="1" applyProtection="1">
      <alignment horizontal="center" vertical="center"/>
    </xf>
    <xf numFmtId="0" fontId="0" fillId="0" borderId="28" xfId="0"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21" xfId="0" applyBorder="1" applyAlignment="1" applyProtection="1">
      <alignment horizontal="center" vertical="center"/>
    </xf>
    <xf numFmtId="0" fontId="0" fillId="0" borderId="21" xfId="0" applyBorder="1" applyAlignment="1" applyProtection="1">
      <alignment horizontal="center" vertical="center" textRotation="90"/>
    </xf>
    <xf numFmtId="0" fontId="0" fillId="0" borderId="25" xfId="0" applyBorder="1" applyAlignment="1" applyProtection="1">
      <alignment horizontal="center" vertical="center" textRotation="90"/>
    </xf>
    <xf numFmtId="0" fontId="0" fillId="0" borderId="13" xfId="0" applyBorder="1" applyAlignment="1" applyProtection="1">
      <alignment horizontal="center" vertical="center" textRotation="90"/>
    </xf>
    <xf numFmtId="0" fontId="15" fillId="3" borderId="8" xfId="0" applyFont="1" applyFill="1" applyBorder="1" applyAlignment="1" applyProtection="1"/>
    <xf numFmtId="0" fontId="1" fillId="0" borderId="0" xfId="0" applyFont="1" applyBorder="1" applyAlignment="1"/>
    <xf numFmtId="0" fontId="0" fillId="0" borderId="10" xfId="0" applyBorder="1" applyAlignment="1" applyProtection="1">
      <alignment horizontal="left"/>
    </xf>
    <xf numFmtId="0" fontId="0" fillId="0" borderId="10" xfId="0" applyBorder="1" applyAlignment="1"/>
    <xf numFmtId="0" fontId="0" fillId="0" borderId="0" xfId="0" applyAlignment="1">
      <alignment horizontal="left"/>
    </xf>
    <xf numFmtId="0" fontId="6" fillId="0" borderId="57" xfId="0" applyFont="1" applyBorder="1" applyAlignment="1">
      <alignment horizontal="center"/>
    </xf>
    <xf numFmtId="0" fontId="0" fillId="0" borderId="57" xfId="0" applyBorder="1" applyAlignment="1"/>
    <xf numFmtId="0" fontId="9" fillId="0" borderId="57" xfId="0" applyFont="1" applyBorder="1" applyAlignment="1"/>
    <xf numFmtId="0" fontId="3" fillId="0" borderId="0" xfId="0" applyFont="1" applyAlignment="1"/>
    <xf numFmtId="0" fontId="0" fillId="0" borderId="8" xfId="0" applyBorder="1" applyAlignment="1">
      <alignment horizontal="left"/>
    </xf>
    <xf numFmtId="0" fontId="0" fillId="0" borderId="8" xfId="0" applyBorder="1" applyAlignment="1"/>
    <xf numFmtId="0" fontId="0" fillId="0" borderId="1" xfId="0" applyBorder="1" applyAlignment="1">
      <alignment horizontal="left"/>
    </xf>
    <xf numFmtId="1" fontId="13" fillId="0" borderId="10" xfId="0" applyNumberFormat="1" applyFont="1" applyBorder="1" applyAlignment="1" applyProtection="1">
      <alignment horizontal="left"/>
    </xf>
    <xf numFmtId="0" fontId="0" fillId="0" borderId="12" xfId="0" applyBorder="1" applyAlignment="1"/>
    <xf numFmtId="1" fontId="13" fillId="0" borderId="8" xfId="0" applyNumberFormat="1" applyFont="1" applyBorder="1" applyAlignment="1">
      <alignment horizontal="left"/>
    </xf>
    <xf numFmtId="0" fontId="0" fillId="0" borderId="9" xfId="0" applyBorder="1" applyAlignment="1"/>
    <xf numFmtId="0" fontId="0" fillId="0" borderId="12" xfId="0" applyBorder="1" applyAlignment="1">
      <alignment horizontal="left"/>
    </xf>
    <xf numFmtId="1" fontId="16" fillId="3" borderId="3" xfId="0" applyNumberFormat="1" applyFont="1" applyFill="1" applyBorder="1" applyAlignment="1">
      <alignment horizontal="center" vertical="center" wrapText="1"/>
    </xf>
    <xf numFmtId="0" fontId="0" fillId="0" borderId="3" xfId="0" applyBorder="1" applyAlignment="1">
      <alignment wrapText="1"/>
    </xf>
    <xf numFmtId="0" fontId="0" fillId="0" borderId="0" xfId="0" applyAlignment="1">
      <alignment wrapText="1"/>
    </xf>
    <xf numFmtId="167" fontId="13" fillId="0" borderId="11" xfId="0" applyNumberFormat="1" applyFont="1" applyBorder="1" applyAlignment="1">
      <alignment horizontal="center"/>
    </xf>
    <xf numFmtId="0" fontId="0" fillId="0" borderId="12" xfId="0" applyBorder="1" applyAlignment="1">
      <alignment horizontal="center"/>
    </xf>
    <xf numFmtId="1" fontId="13" fillId="0" borderId="10" xfId="0" applyNumberFormat="1" applyFont="1" applyBorder="1" applyAlignment="1">
      <alignment horizontal="left"/>
    </xf>
    <xf numFmtId="1" fontId="13" fillId="0" borderId="3" xfId="0" applyNumberFormat="1" applyFont="1" applyBorder="1" applyAlignment="1" applyProtection="1">
      <alignment horizontal="left"/>
    </xf>
    <xf numFmtId="0" fontId="0" fillId="0" borderId="4" xfId="0" applyBorder="1" applyAlignment="1">
      <alignment horizontal="left"/>
    </xf>
    <xf numFmtId="1" fontId="12" fillId="0" borderId="11" xfId="0" applyNumberFormat="1" applyFont="1" applyBorder="1" applyAlignment="1"/>
    <xf numFmtId="0" fontId="3" fillId="0" borderId="10" xfId="0" applyFont="1" applyBorder="1" applyAlignment="1"/>
    <xf numFmtId="0" fontId="6" fillId="0" borderId="10" xfId="0" applyFont="1" applyBorder="1" applyAlignment="1"/>
    <xf numFmtId="1" fontId="13" fillId="0" borderId="53" xfId="0" applyNumberFormat="1" applyFont="1" applyBorder="1" applyAlignment="1">
      <alignment horizontal="left"/>
    </xf>
    <xf numFmtId="0" fontId="15" fillId="0" borderId="58" xfId="0" applyFont="1" applyBorder="1" applyAlignment="1">
      <alignment horizontal="left"/>
    </xf>
    <xf numFmtId="1" fontId="14" fillId="0" borderId="11" xfId="0" applyNumberFormat="1" applyFont="1" applyBorder="1" applyAlignment="1">
      <alignment horizontal="left"/>
    </xf>
    <xf numFmtId="1" fontId="14" fillId="0" borderId="10" xfId="0" applyNumberFormat="1" applyFont="1" applyBorder="1" applyAlignment="1">
      <alignment horizontal="left"/>
    </xf>
    <xf numFmtId="1" fontId="13" fillId="0" borderId="53" xfId="0" applyNumberFormat="1" applyFont="1" applyBorder="1" applyAlignment="1">
      <alignment horizontal="center"/>
    </xf>
    <xf numFmtId="1" fontId="13" fillId="0" borderId="58" xfId="0" applyNumberFormat="1" applyFont="1" applyBorder="1" applyAlignment="1">
      <alignment horizontal="center"/>
    </xf>
    <xf numFmtId="1" fontId="13" fillId="0" borderId="54" xfId="0" applyNumberFormat="1" applyFont="1" applyBorder="1" applyAlignment="1">
      <alignment horizontal="center"/>
    </xf>
    <xf numFmtId="1" fontId="13" fillId="0" borderId="53" xfId="0" applyNumberFormat="1" applyFont="1" applyBorder="1" applyAlignment="1" applyProtection="1">
      <alignment horizontal="left"/>
    </xf>
    <xf numFmtId="0" fontId="15" fillId="0" borderId="58" xfId="0" applyFont="1" applyBorder="1" applyAlignment="1"/>
    <xf numFmtId="0" fontId="0" fillId="0" borderId="58" xfId="0" applyBorder="1" applyAlignment="1">
      <alignment horizontal="center"/>
    </xf>
    <xf numFmtId="0" fontId="0" fillId="0" borderId="54" xfId="0" applyBorder="1" applyAlignment="1">
      <alignment horizontal="center"/>
    </xf>
    <xf numFmtId="0" fontId="13" fillId="0" borderId="23" xfId="0" applyFont="1" applyBorder="1" applyAlignment="1">
      <alignment horizontal="left" vertical="center"/>
    </xf>
    <xf numFmtId="0" fontId="13" fillId="0" borderId="1" xfId="0" applyFont="1" applyBorder="1" applyAlignment="1">
      <alignment horizontal="left" vertical="center"/>
    </xf>
    <xf numFmtId="0" fontId="13" fillId="0" borderId="30" xfId="0" applyFont="1" applyBorder="1" applyAlignment="1">
      <alignment horizontal="left" vertical="center"/>
    </xf>
    <xf numFmtId="0" fontId="13" fillId="0" borderId="31" xfId="0" applyFont="1" applyBorder="1" applyAlignment="1">
      <alignment horizontal="left" vertical="center"/>
    </xf>
    <xf numFmtId="0" fontId="13" fillId="0" borderId="53" xfId="0" applyFont="1" applyBorder="1" applyAlignment="1">
      <alignment horizontal="left" vertical="center"/>
    </xf>
    <xf numFmtId="0" fontId="13" fillId="0" borderId="59" xfId="0" applyFont="1" applyBorder="1" applyAlignment="1">
      <alignment horizontal="left" vertical="center"/>
    </xf>
    <xf numFmtId="0" fontId="7" fillId="3" borderId="36" xfId="0" applyFont="1" applyFill="1" applyBorder="1" applyAlignment="1" applyProtection="1">
      <alignment horizontal="center" vertical="center"/>
    </xf>
    <xf numFmtId="0" fontId="7" fillId="3" borderId="37" xfId="0" applyFont="1" applyFill="1" applyBorder="1" applyAlignment="1" applyProtection="1">
      <alignment horizontal="center" vertical="center"/>
    </xf>
    <xf numFmtId="0" fontId="7" fillId="3" borderId="38" xfId="0" applyFont="1" applyFill="1" applyBorder="1" applyAlignment="1" applyProtection="1">
      <alignment horizontal="center" vertical="center"/>
    </xf>
    <xf numFmtId="0" fontId="13" fillId="0" borderId="20" xfId="0" applyFont="1" applyBorder="1" applyAlignment="1">
      <alignment horizontal="left" vertical="center"/>
    </xf>
    <xf numFmtId="0" fontId="13" fillId="0" borderId="12" xfId="0" applyFont="1" applyBorder="1" applyAlignment="1">
      <alignment horizontal="left" vertical="center"/>
    </xf>
    <xf numFmtId="0" fontId="0" fillId="0" borderId="11" xfId="0" applyBorder="1" applyAlignment="1">
      <alignment horizontal="center"/>
    </xf>
    <xf numFmtId="0" fontId="0" fillId="0" borderId="0" xfId="0"/>
    <xf numFmtId="0" fontId="0" fillId="0" borderId="0" xfId="0" applyAlignment="1">
      <alignment vertical="center" wrapText="1"/>
    </xf>
    <xf numFmtId="0" fontId="0" fillId="0" borderId="1" xfId="0" applyBorder="1" applyAlignment="1"/>
    <xf numFmtId="0" fontId="10" fillId="0" borderId="8" xfId="0" applyFont="1" applyBorder="1" applyAlignment="1" applyProtection="1">
      <alignment horizontal="left"/>
    </xf>
    <xf numFmtId="0" fontId="10" fillId="0" borderId="10" xfId="0" applyFont="1" applyBorder="1" applyAlignment="1" applyProtection="1">
      <alignment horizontal="left"/>
    </xf>
    <xf numFmtId="0" fontId="11" fillId="0" borderId="2" xfId="0" applyFont="1" applyBorder="1" applyAlignment="1" applyProtection="1">
      <alignment horizontal="right"/>
    </xf>
    <xf numFmtId="0" fontId="0" fillId="0" borderId="3" xfId="0" applyBorder="1" applyAlignment="1">
      <alignment horizontal="right"/>
    </xf>
    <xf numFmtId="0" fontId="11" fillId="0" borderId="0" xfId="0" applyFont="1" applyBorder="1" applyAlignment="1" applyProtection="1">
      <alignment horizontal="left"/>
    </xf>
    <xf numFmtId="1" fontId="10" fillId="0" borderId="8" xfId="0" applyNumberFormat="1" applyFont="1" applyBorder="1" applyAlignment="1" applyProtection="1">
      <alignment horizontal="left"/>
    </xf>
    <xf numFmtId="0" fontId="0" fillId="0" borderId="0" xfId="0" applyBorder="1" applyAlignment="1">
      <alignment horizontal="left"/>
    </xf>
    <xf numFmtId="1" fontId="10" fillId="0" borderId="10" xfId="0" applyNumberFormat="1" applyFont="1" applyBorder="1" applyAlignment="1">
      <alignment horizontal="left"/>
    </xf>
    <xf numFmtId="1" fontId="17" fillId="3" borderId="5" xfId="0" applyNumberFormat="1" applyFont="1" applyFill="1" applyBorder="1" applyAlignment="1">
      <alignment horizontal="center" vertical="center" shrinkToFit="1"/>
    </xf>
    <xf numFmtId="0" fontId="0" fillId="0" borderId="0" xfId="0" applyBorder="1" applyAlignment="1">
      <alignment horizontal="center" vertical="center"/>
    </xf>
    <xf numFmtId="167" fontId="11" fillId="0" borderId="7" xfId="0" applyNumberFormat="1" applyFont="1" applyBorder="1" applyAlignment="1">
      <alignment horizontal="center"/>
    </xf>
    <xf numFmtId="1" fontId="11" fillId="0" borderId="0" xfId="0" applyNumberFormat="1" applyFont="1" applyBorder="1" applyAlignment="1"/>
  </cellXfs>
  <cellStyles count="1">
    <cellStyle name="Normal" xfId="0" builtinId="0"/>
  </cellStyles>
  <dxfs count="155">
    <dxf>
      <font>
        <color rgb="FF9C0006"/>
      </font>
      <fill>
        <patternFill>
          <bgColor rgb="FFFFC7CE"/>
        </patternFill>
      </fill>
    </dxf>
    <dxf>
      <font>
        <strike val="0"/>
        <color auto="1"/>
      </font>
      <fill>
        <patternFill patternType="gray125">
          <fgColor theme="9"/>
          <bgColor rgb="FFFFFF99"/>
        </patternFill>
      </fill>
      <border>
        <left style="thin">
          <color theme="1"/>
        </left>
        <right style="thin">
          <color theme="1"/>
        </right>
        <top style="thin">
          <color theme="1"/>
        </top>
        <bottom style="thin">
          <color theme="1"/>
        </bottom>
      </border>
    </dxf>
    <dxf>
      <fill>
        <patternFill>
          <bgColor indexed="52"/>
        </patternFill>
      </fill>
    </dxf>
    <dxf>
      <font>
        <condense val="0"/>
        <extend val="0"/>
        <color auto="1"/>
      </font>
      <fill>
        <patternFill>
          <bgColor indexed="52"/>
        </patternFill>
      </fill>
    </dxf>
    <dxf>
      <fill>
        <patternFill>
          <bgColor indexed="52"/>
        </patternFill>
      </fill>
    </dxf>
    <dxf>
      <font>
        <condense val="0"/>
        <extend val="0"/>
        <color auto="1"/>
      </font>
      <fill>
        <patternFill>
          <bgColor indexed="52"/>
        </patternFill>
      </fill>
    </dxf>
    <dxf>
      <font>
        <strike val="0"/>
        <color auto="1"/>
      </font>
      <fill>
        <patternFill patternType="solid">
          <fgColor indexed="64"/>
          <bgColor theme="9"/>
        </patternFill>
      </fill>
      <border>
        <left style="thin">
          <color theme="1"/>
        </left>
        <right style="thin">
          <color theme="1"/>
        </right>
        <top style="thin">
          <color theme="1"/>
        </top>
        <bottom style="thin">
          <color theme="1"/>
        </bottom>
      </border>
    </dxf>
    <dxf>
      <font>
        <strike val="0"/>
        <color auto="1"/>
      </font>
      <fill>
        <patternFill patternType="solid">
          <fgColor indexed="64"/>
          <bgColor theme="9"/>
        </patternFill>
      </fill>
      <border>
        <left style="thin">
          <color theme="1"/>
        </left>
        <right style="thin">
          <color theme="1"/>
        </right>
        <top style="thin">
          <color theme="1"/>
        </top>
        <bottom style="thin">
          <color theme="1"/>
        </bottom>
      </border>
    </dxf>
    <dxf>
      <font>
        <strike val="0"/>
        <color auto="1"/>
      </font>
      <fill>
        <patternFill patternType="gray125">
          <fgColor theme="9"/>
          <bgColor rgb="FFFFFF99"/>
        </patternFill>
      </fill>
      <border>
        <left style="thin">
          <color theme="1"/>
        </left>
        <right style="thin">
          <color theme="1"/>
        </right>
        <top style="thin">
          <color theme="1"/>
        </top>
        <bottom style="thin">
          <color theme="1"/>
        </bottom>
      </border>
    </dxf>
    <dxf>
      <fill>
        <patternFill>
          <bgColor indexed="52"/>
        </patternFill>
      </fill>
    </dxf>
    <dxf>
      <fill>
        <patternFill>
          <bgColor indexed="43"/>
        </patternFill>
      </fill>
    </dxf>
    <dxf>
      <fill>
        <patternFill>
          <bgColor indexed="52"/>
        </patternFill>
      </fill>
    </dxf>
    <dxf>
      <fill>
        <patternFill>
          <bgColor indexed="43"/>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patternType="solid">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patternType="solid">
          <bgColor indexed="52"/>
        </patternFill>
      </fill>
    </dxf>
    <dxf>
      <fill>
        <patternFill>
          <bgColor indexed="52"/>
        </patternFill>
      </fill>
    </dxf>
    <dxf>
      <fill>
        <patternFill>
          <bgColor indexed="52"/>
        </patternFill>
      </fill>
    </dxf>
    <dxf>
      <fill>
        <patternFill>
          <bgColor indexed="52"/>
        </patternFill>
      </fill>
    </dxf>
    <dxf>
      <font>
        <strike val="0"/>
        <color auto="1"/>
      </font>
      <fill>
        <patternFill patternType="gray125">
          <fgColor theme="9"/>
          <bgColor rgb="FFFFFF99"/>
        </patternFill>
      </fill>
      <border>
        <left style="thin">
          <color theme="1"/>
        </left>
        <right style="thin">
          <color theme="1"/>
        </right>
        <top style="thin">
          <color theme="1"/>
        </top>
        <bottom style="thin">
          <color theme="1"/>
        </bottom>
      </border>
    </dxf>
    <dxf>
      <font>
        <strike val="0"/>
        <color auto="1"/>
      </font>
      <fill>
        <patternFill>
          <bgColor indexed="52"/>
        </patternFill>
      </fill>
      <border>
        <left style="thin">
          <color theme="1"/>
        </left>
        <right style="thin">
          <color theme="1"/>
        </right>
        <top style="thin">
          <color theme="1"/>
        </top>
        <bottom style="thin">
          <color theme="1"/>
        </bottom>
      </border>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patternType="solid">
          <bgColor indexed="52"/>
        </patternFill>
      </fill>
    </dxf>
    <dxf>
      <fill>
        <patternFill>
          <bgColor indexed="43"/>
        </patternFill>
      </fill>
    </dxf>
    <dxf>
      <fill>
        <patternFill>
          <bgColor indexed="52"/>
        </patternFill>
      </fill>
    </dxf>
    <dxf>
      <fill>
        <patternFill patternType="solid">
          <fgColor indexed="10"/>
          <bgColor indexed="52"/>
        </patternFill>
      </fill>
      <border>
        <left/>
        <right/>
        <top/>
        <bottom/>
      </border>
    </dxf>
    <dxf>
      <fill>
        <patternFill>
          <bgColor indexed="52"/>
        </patternFill>
      </fill>
    </dxf>
    <dxf>
      <fill>
        <patternFill>
          <bgColor indexed="52"/>
        </patternFill>
      </fill>
    </dxf>
    <dxf>
      <fill>
        <patternFill>
          <bgColor indexed="52"/>
        </patternFill>
      </fill>
    </dxf>
    <dxf>
      <fill>
        <patternFill patternType="solid">
          <fgColor indexed="64"/>
          <bgColor theme="9"/>
        </patternFill>
      </fill>
      <border>
        <left style="thin">
          <color theme="1"/>
        </left>
        <right style="thin">
          <color theme="1"/>
        </right>
        <top style="thin">
          <color theme="1"/>
        </top>
        <bottom style="thin">
          <color theme="1"/>
        </bottom>
      </border>
    </dxf>
    <dxf>
      <font>
        <strike val="0"/>
        <color auto="1"/>
      </font>
      <fill>
        <patternFill patternType="gray125">
          <fgColor theme="9"/>
          <bgColor rgb="FFFFFF99"/>
        </patternFill>
      </fill>
      <border>
        <left style="thin">
          <color theme="1"/>
        </left>
        <right style="thin">
          <color theme="1"/>
        </right>
        <top style="thin">
          <color theme="1"/>
        </top>
        <bottom style="thin">
          <color theme="1"/>
        </bottom>
      </border>
    </dxf>
    <dxf>
      <font>
        <strike val="0"/>
        <color auto="1"/>
      </font>
      <fill>
        <patternFill patternType="solid">
          <fgColor indexed="64"/>
          <bgColor theme="9"/>
        </patternFill>
      </fill>
      <border>
        <left style="thin">
          <color theme="1"/>
        </left>
        <right style="thin">
          <color theme="1"/>
        </right>
        <top style="thin">
          <color theme="1"/>
        </top>
        <bottom style="thin">
          <color theme="1"/>
        </bottom>
      </border>
    </dxf>
    <dxf>
      <font>
        <strike val="0"/>
        <color auto="1"/>
      </font>
      <fill>
        <patternFill patternType="gray125">
          <fgColor theme="9"/>
          <bgColor rgb="FFFFFF99"/>
        </patternFill>
      </fill>
      <border>
        <left style="thin">
          <color auto="1"/>
        </left>
        <right style="thin">
          <color auto="1"/>
        </right>
        <top style="thin">
          <color auto="1"/>
        </top>
        <bottom style="thin">
          <color auto="1"/>
        </bottom>
      </border>
    </dxf>
    <dxf>
      <fill>
        <patternFill>
          <bgColor indexed="52"/>
        </patternFill>
      </fill>
    </dxf>
    <dxf>
      <font>
        <strike val="0"/>
        <condense val="0"/>
        <extend val="0"/>
      </font>
      <fill>
        <patternFill patternType="solid">
          <fgColor indexed="64"/>
          <bgColor theme="9"/>
        </patternFill>
      </fill>
      <border>
        <left style="thin">
          <color theme="1"/>
        </left>
        <right style="thin">
          <color theme="1"/>
        </right>
        <top style="thin">
          <color theme="1"/>
        </top>
        <bottom style="thin">
          <color theme="1"/>
        </bottom>
      </border>
    </dxf>
    <dxf>
      <font>
        <strike val="0"/>
        <color auto="1"/>
      </font>
      <fill>
        <patternFill patternType="gray125">
          <fgColor theme="9"/>
          <bgColor rgb="FFFFFF99"/>
        </patternFill>
      </fill>
      <border>
        <left style="thin">
          <color theme="1"/>
        </left>
        <right style="thin">
          <color theme="1"/>
        </right>
        <top style="thin">
          <color theme="1"/>
        </top>
        <bottom style="thin">
          <color theme="1"/>
        </bottom>
      </border>
    </dxf>
    <dxf>
      <fill>
        <patternFill>
          <bgColor indexed="45"/>
        </patternFill>
      </fill>
    </dxf>
    <dxf>
      <fill>
        <patternFill>
          <bgColor indexed="43"/>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596900</xdr:colOff>
      <xdr:row>1</xdr:row>
      <xdr:rowOff>50800</xdr:rowOff>
    </xdr:from>
    <xdr:to>
      <xdr:col>11</xdr:col>
      <xdr:colOff>952500</xdr:colOff>
      <xdr:row>4</xdr:row>
      <xdr:rowOff>50800</xdr:rowOff>
    </xdr:to>
    <xdr:pic>
      <xdr:nvPicPr>
        <xdr:cNvPr id="15546" name="Picture 1" descr="nuboldlogohoriznewgraphic"/>
        <xdr:cNvPicPr>
          <a:picLocks noChangeAspect="1" noChangeArrowheads="1"/>
        </xdr:cNvPicPr>
      </xdr:nvPicPr>
      <xdr:blipFill>
        <a:blip xmlns:r="http://schemas.openxmlformats.org/officeDocument/2006/relationships" r:embed="rId1"/>
        <a:srcRect/>
        <a:stretch>
          <a:fillRect/>
        </a:stretch>
      </xdr:blipFill>
      <xdr:spPr bwMode="auto">
        <a:xfrm>
          <a:off x="4305300" y="114300"/>
          <a:ext cx="3556000" cy="647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B1:AB75"/>
  <sheetViews>
    <sheetView showGridLines="0" showRowColHeaders="0" tabSelected="1" showRuler="0" zoomScale="68" zoomScaleNormal="68" zoomScalePageLayoutView="68" workbookViewId="0">
      <selection activeCell="D7" sqref="D7:F7"/>
    </sheetView>
  </sheetViews>
  <sheetFormatPr baseColWidth="10" defaultColWidth="10.83203125" defaultRowHeight="18" x14ac:dyDescent="0.2"/>
  <cols>
    <col min="1" max="1" width="2" style="121" customWidth="1"/>
    <col min="2" max="2" width="6.1640625" style="121" customWidth="1"/>
    <col min="3" max="3" width="6" style="121" customWidth="1"/>
    <col min="4" max="4" width="8.5" style="121" customWidth="1"/>
    <col min="5" max="6" width="13" style="121" customWidth="1"/>
    <col min="7" max="7" width="8" style="121" customWidth="1"/>
    <col min="8" max="9" width="6.1640625" style="121" customWidth="1"/>
    <col min="10" max="10" width="8.6640625" style="121" customWidth="1"/>
    <col min="11" max="12" width="13" style="121" customWidth="1"/>
    <col min="13" max="13" width="2.6640625" style="121" customWidth="1"/>
    <col min="14" max="14" width="6.5" style="121" customWidth="1"/>
    <col min="15" max="15" width="9.5" style="121" customWidth="1"/>
    <col min="16" max="16" width="4.33203125" style="121" customWidth="1"/>
    <col min="17" max="17" width="9.5" style="121" customWidth="1"/>
    <col min="18" max="18" width="13" style="121" customWidth="1"/>
    <col min="19" max="19" width="3" style="121" customWidth="1"/>
    <col min="20" max="20" width="4.33203125" style="121" customWidth="1"/>
    <col min="21" max="21" width="9" style="121" customWidth="1"/>
    <col min="22" max="23" width="10.83203125" style="121"/>
    <col min="24" max="24" width="11.1640625" style="121" bestFit="1" customWidth="1"/>
    <col min="25" max="16384" width="10.83203125" style="121"/>
  </cols>
  <sheetData>
    <row r="1" spans="2:28" ht="5" customHeight="1" x14ac:dyDescent="0.2"/>
    <row r="2" spans="2:28" x14ac:dyDescent="0.2">
      <c r="B2" s="419" t="s">
        <v>86</v>
      </c>
      <c r="C2" s="323"/>
      <c r="D2" s="323"/>
      <c r="E2" s="323"/>
      <c r="F2" s="323"/>
      <c r="G2" s="122"/>
      <c r="H2" s="123"/>
      <c r="O2" s="420" t="s">
        <v>638</v>
      </c>
      <c r="P2" s="421"/>
      <c r="Q2" s="421"/>
      <c r="R2" s="422"/>
      <c r="S2" s="122"/>
    </row>
    <row r="3" spans="2:28" x14ac:dyDescent="0.2">
      <c r="B3" s="323"/>
      <c r="C3" s="323"/>
      <c r="D3" s="323"/>
      <c r="E3" s="323"/>
      <c r="F3" s="323"/>
      <c r="G3" s="122"/>
      <c r="H3" s="123"/>
      <c r="O3" s="423" t="s">
        <v>639</v>
      </c>
      <c r="P3" s="356"/>
      <c r="Q3" s="356"/>
      <c r="R3" s="344"/>
      <c r="S3" s="122"/>
    </row>
    <row r="4" spans="2:28" ht="17" customHeight="1" x14ac:dyDescent="0.2">
      <c r="B4" s="424" t="s">
        <v>418</v>
      </c>
      <c r="C4" s="323"/>
      <c r="D4" s="323"/>
      <c r="E4" s="324"/>
      <c r="F4" s="324"/>
      <c r="G4" s="122"/>
      <c r="H4" s="122"/>
      <c r="O4" s="423" t="s">
        <v>640</v>
      </c>
      <c r="P4" s="356"/>
      <c r="Q4" s="356"/>
      <c r="R4" s="344"/>
      <c r="S4" s="122"/>
    </row>
    <row r="5" spans="2:28" ht="17" customHeight="1" x14ac:dyDescent="0.2">
      <c r="B5" s="424" t="s">
        <v>417</v>
      </c>
      <c r="C5" s="323"/>
      <c r="D5" s="323"/>
      <c r="E5" s="433"/>
      <c r="F5" s="433"/>
      <c r="G5" s="122"/>
      <c r="N5" s="124"/>
      <c r="O5" s="425" t="s">
        <v>641</v>
      </c>
      <c r="P5" s="426"/>
      <c r="Q5" s="426"/>
      <c r="R5" s="427"/>
      <c r="S5" s="122"/>
    </row>
    <row r="6" spans="2:28" ht="13" customHeight="1" x14ac:dyDescent="0.2">
      <c r="N6" s="124"/>
    </row>
    <row r="7" spans="2:28" s="125" customFormat="1" ht="18" customHeight="1" x14ac:dyDescent="0.2">
      <c r="B7" s="342" t="s">
        <v>507</v>
      </c>
      <c r="C7" s="342"/>
      <c r="D7" s="435" t="s">
        <v>638</v>
      </c>
      <c r="E7" s="435"/>
      <c r="F7" s="435"/>
      <c r="H7" s="428" t="s">
        <v>576</v>
      </c>
      <c r="I7" s="429"/>
      <c r="J7" s="429"/>
      <c r="K7" s="429"/>
      <c r="L7" s="429"/>
      <c r="M7" s="126"/>
      <c r="N7" s="6"/>
      <c r="O7" s="430" t="s">
        <v>505</v>
      </c>
      <c r="P7" s="430"/>
      <c r="S7" s="127"/>
    </row>
    <row r="8" spans="2:28" s="125" customFormat="1" ht="17" customHeight="1" x14ac:dyDescent="0.2">
      <c r="B8" s="434" t="s">
        <v>508</v>
      </c>
      <c r="C8" s="434"/>
      <c r="D8" s="436"/>
      <c r="E8" s="436"/>
      <c r="F8" s="436"/>
      <c r="H8" s="429"/>
      <c r="I8" s="429"/>
      <c r="J8" s="429"/>
      <c r="K8" s="429"/>
      <c r="L8" s="429"/>
      <c r="M8" s="126"/>
      <c r="N8" s="6"/>
      <c r="O8" s="430" t="s">
        <v>506</v>
      </c>
      <c r="P8" s="430"/>
      <c r="Q8" s="431"/>
      <c r="R8" s="431"/>
      <c r="S8" s="127"/>
    </row>
    <row r="9" spans="2:28" ht="14" customHeight="1" x14ac:dyDescent="0.2">
      <c r="S9" s="128"/>
    </row>
    <row r="10" spans="2:28" x14ac:dyDescent="0.2">
      <c r="B10" s="129" t="s">
        <v>562</v>
      </c>
      <c r="C10" s="129"/>
      <c r="D10" s="392"/>
      <c r="E10" s="393"/>
      <c r="F10" s="394"/>
      <c r="H10" s="432" t="s">
        <v>558</v>
      </c>
      <c r="I10" s="343"/>
      <c r="J10" s="344"/>
      <c r="K10" s="382"/>
      <c r="L10" s="383"/>
      <c r="M10"/>
      <c r="O10" s="342" t="s">
        <v>557</v>
      </c>
      <c r="P10" s="343"/>
      <c r="Q10" s="382"/>
      <c r="R10" s="382"/>
      <c r="S10" s="122"/>
    </row>
    <row r="11" spans="2:28" x14ac:dyDescent="0.2">
      <c r="B11" s="129" t="s">
        <v>559</v>
      </c>
      <c r="C11" s="129"/>
      <c r="D11" s="366"/>
      <c r="E11" s="367"/>
      <c r="F11" s="368"/>
      <c r="H11" s="342" t="s">
        <v>555</v>
      </c>
      <c r="I11" s="343"/>
      <c r="J11" s="344"/>
      <c r="K11" s="388"/>
      <c r="L11" s="388"/>
      <c r="M11"/>
      <c r="N11" s="122"/>
      <c r="O11" s="130" t="s">
        <v>494</v>
      </c>
      <c r="P11" s="345"/>
      <c r="Q11" s="345"/>
      <c r="R11" s="345"/>
    </row>
    <row r="12" spans="2:28" x14ac:dyDescent="0.2">
      <c r="B12" s="342" t="s">
        <v>148</v>
      </c>
      <c r="C12" s="343"/>
      <c r="D12" s="346" t="s">
        <v>634</v>
      </c>
      <c r="E12" s="369"/>
      <c r="F12" s="131"/>
      <c r="H12" s="342" t="s">
        <v>69</v>
      </c>
      <c r="I12" s="343"/>
      <c r="J12" s="344"/>
      <c r="K12" s="346"/>
      <c r="L12" s="347"/>
      <c r="M12" s="358" t="str">
        <f>IF(L13="","","FOR")</f>
        <v/>
      </c>
      <c r="N12" s="359"/>
      <c r="P12" s="345"/>
      <c r="Q12" s="345"/>
      <c r="R12" s="345"/>
    </row>
    <row r="13" spans="2:28" x14ac:dyDescent="0.2">
      <c r="B13" s="342" t="s">
        <v>410</v>
      </c>
      <c r="C13" s="342"/>
      <c r="D13" s="346" t="s">
        <v>635</v>
      </c>
      <c r="E13" s="413"/>
      <c r="H13" s="342" t="s">
        <v>561</v>
      </c>
      <c r="I13" s="356"/>
      <c r="J13" s="344"/>
      <c r="K13" s="120"/>
      <c r="L13" s="352" t="str">
        <f>IF(AND(OR(c.stile=21,c.stile=22,c.stile&gt;25),c.edge&lt;&gt;0),"SLAB FRONTS ONLY","")</f>
        <v/>
      </c>
      <c r="M13" s="353"/>
      <c r="N13" s="354"/>
      <c r="O13" s="130" t="s">
        <v>493</v>
      </c>
      <c r="P13" s="351"/>
      <c r="Q13" s="351"/>
      <c r="R13" s="351"/>
      <c r="S13" s="132"/>
    </row>
    <row r="14" spans="2:28" ht="14" customHeight="1" thickBot="1" x14ac:dyDescent="0.25">
      <c r="G14" s="133"/>
      <c r="N14" s="132"/>
      <c r="O14" s="132"/>
      <c r="P14" s="132"/>
      <c r="Q14" s="132"/>
      <c r="R14" s="132"/>
      <c r="S14" s="132"/>
    </row>
    <row r="15" spans="2:28" x14ac:dyDescent="0.2">
      <c r="B15" s="360" t="s">
        <v>338</v>
      </c>
      <c r="C15" s="361"/>
      <c r="D15" s="362"/>
      <c r="E15" s="362"/>
      <c r="F15" s="363"/>
      <c r="H15" s="360" t="s">
        <v>487</v>
      </c>
      <c r="I15" s="321"/>
      <c r="J15" s="321"/>
      <c r="K15" s="321"/>
      <c r="L15" s="389"/>
      <c r="M15" s="5"/>
      <c r="N15" s="132"/>
      <c r="O15" s="312" t="s">
        <v>3</v>
      </c>
      <c r="P15" s="313"/>
      <c r="Q15" s="313"/>
      <c r="R15" s="314"/>
    </row>
    <row r="16" spans="2:28" x14ac:dyDescent="0.2">
      <c r="B16" s="390" t="s">
        <v>595</v>
      </c>
      <c r="C16" s="391"/>
      <c r="D16" s="379"/>
      <c r="E16" s="379"/>
      <c r="F16" s="134"/>
      <c r="H16" s="380" t="s">
        <v>595</v>
      </c>
      <c r="I16" s="381"/>
      <c r="J16" s="379"/>
      <c r="K16" s="379"/>
      <c r="L16" s="134"/>
      <c r="M16" s="132"/>
      <c r="N16" s="132"/>
      <c r="O16" s="207"/>
      <c r="P16" s="208"/>
      <c r="Q16" s="221" t="s">
        <v>126</v>
      </c>
      <c r="R16" s="281"/>
      <c r="U16" s="132"/>
      <c r="V16" s="132"/>
      <c r="W16" s="132"/>
      <c r="X16" s="132"/>
      <c r="Y16" s="132"/>
      <c r="Z16" s="132"/>
      <c r="AA16" s="132"/>
      <c r="AB16" s="132"/>
    </row>
    <row r="17" spans="2:28" ht="17" customHeight="1" x14ac:dyDescent="0.2">
      <c r="B17" s="409" t="s">
        <v>569</v>
      </c>
      <c r="C17" s="410"/>
      <c r="D17" s="370" t="s">
        <v>484</v>
      </c>
      <c r="E17" s="370" t="s">
        <v>277</v>
      </c>
      <c r="F17" s="364" t="s">
        <v>276</v>
      </c>
      <c r="G17" s="132"/>
      <c r="H17" s="411" t="s">
        <v>569</v>
      </c>
      <c r="I17" s="412"/>
      <c r="J17" s="370" t="s">
        <v>484</v>
      </c>
      <c r="K17" s="370" t="s">
        <v>277</v>
      </c>
      <c r="L17" s="364" t="s">
        <v>276</v>
      </c>
      <c r="M17" s="135"/>
      <c r="N17" s="135"/>
      <c r="O17" s="386" t="s">
        <v>484</v>
      </c>
      <c r="P17" s="328" t="s">
        <v>277</v>
      </c>
      <c r="Q17" s="323"/>
      <c r="R17" s="364" t="s">
        <v>276</v>
      </c>
      <c r="S17" s="132"/>
      <c r="U17" s="132"/>
      <c r="V17" s="132"/>
      <c r="W17" s="132"/>
      <c r="X17" s="132"/>
      <c r="Y17" s="132"/>
      <c r="Z17" s="132"/>
      <c r="AA17" s="132"/>
      <c r="AB17" s="132"/>
    </row>
    <row r="18" spans="2:28" ht="17" customHeight="1" x14ac:dyDescent="0.2">
      <c r="B18" s="136" t="s">
        <v>411</v>
      </c>
      <c r="C18" s="137" t="s">
        <v>412</v>
      </c>
      <c r="D18" s="371"/>
      <c r="E18" s="414"/>
      <c r="F18" s="365"/>
      <c r="G18" s="132"/>
      <c r="H18" s="136" t="s">
        <v>149</v>
      </c>
      <c r="I18" s="137" t="s">
        <v>150</v>
      </c>
      <c r="J18" s="371"/>
      <c r="K18" s="372"/>
      <c r="L18" s="375"/>
      <c r="M18" s="135"/>
      <c r="N18" s="135"/>
      <c r="O18" s="387"/>
      <c r="P18" s="328"/>
      <c r="Q18" s="323"/>
      <c r="R18" s="375"/>
      <c r="S18" s="132"/>
      <c r="U18" s="132"/>
      <c r="V18" s="132"/>
      <c r="W18" s="132"/>
      <c r="X18" s="132"/>
      <c r="Y18" s="132"/>
      <c r="Z18" s="132"/>
      <c r="AA18" s="132"/>
      <c r="AB18" s="132"/>
    </row>
    <row r="19" spans="2:28" x14ac:dyDescent="0.2">
      <c r="B19" s="157"/>
      <c r="C19" s="158"/>
      <c r="D19" s="200"/>
      <c r="E19" s="196"/>
      <c r="F19" s="194"/>
      <c r="G19" s="132"/>
      <c r="H19" s="157"/>
      <c r="I19" s="158"/>
      <c r="J19" s="161"/>
      <c r="K19" s="196"/>
      <c r="L19" s="194"/>
      <c r="M19"/>
      <c r="N19"/>
      <c r="O19" s="96"/>
      <c r="P19" s="385"/>
      <c r="Q19" s="316"/>
      <c r="R19" s="194"/>
      <c r="S19" s="132"/>
      <c r="T19" s="132"/>
      <c r="U19" s="132"/>
      <c r="V19" s="132"/>
      <c r="W19" s="132"/>
      <c r="X19" s="132"/>
      <c r="Y19" s="132"/>
      <c r="Z19" s="132"/>
      <c r="AA19" s="132"/>
      <c r="AB19" s="132"/>
    </row>
    <row r="20" spans="2:28" x14ac:dyDescent="0.2">
      <c r="B20" s="157"/>
      <c r="C20" s="158"/>
      <c r="D20" s="200"/>
      <c r="E20" s="196"/>
      <c r="F20" s="194"/>
      <c r="G20" s="132"/>
      <c r="H20" s="157"/>
      <c r="I20" s="158"/>
      <c r="J20" s="161"/>
      <c r="K20" s="196"/>
      <c r="L20" s="194"/>
      <c r="M20"/>
      <c r="N20"/>
      <c r="O20" s="96"/>
      <c r="P20" s="385"/>
      <c r="Q20" s="316"/>
      <c r="R20" s="194"/>
      <c r="S20" s="132"/>
      <c r="U20" s="132"/>
      <c r="V20" s="132"/>
      <c r="W20" s="132"/>
      <c r="X20" s="132"/>
      <c r="Y20" s="132"/>
      <c r="Z20" s="132"/>
      <c r="AA20" s="132"/>
      <c r="AB20" s="132"/>
    </row>
    <row r="21" spans="2:28" x14ac:dyDescent="0.2">
      <c r="B21" s="157"/>
      <c r="C21" s="158"/>
      <c r="D21" s="161"/>
      <c r="E21" s="201"/>
      <c r="F21" s="202"/>
      <c r="G21" s="132"/>
      <c r="H21" s="157"/>
      <c r="I21" s="158"/>
      <c r="J21" s="161"/>
      <c r="K21" s="196"/>
      <c r="L21" s="194"/>
      <c r="M21"/>
      <c r="N21"/>
      <c r="O21" s="96"/>
      <c r="P21" s="385"/>
      <c r="Q21" s="316"/>
      <c r="R21" s="194"/>
      <c r="S21" s="132"/>
      <c r="U21" s="132"/>
      <c r="V21" s="132"/>
      <c r="W21" s="132"/>
      <c r="X21" s="132"/>
      <c r="Y21" s="132"/>
      <c r="Z21" s="132"/>
      <c r="AA21" s="132"/>
      <c r="AB21" s="132"/>
    </row>
    <row r="22" spans="2:28" x14ac:dyDescent="0.2">
      <c r="B22" s="157"/>
      <c r="C22" s="158"/>
      <c r="D22" s="161"/>
      <c r="E22" s="196"/>
      <c r="F22" s="194"/>
      <c r="G22" s="132"/>
      <c r="H22" s="157"/>
      <c r="I22" s="158"/>
      <c r="J22" s="161"/>
      <c r="K22" s="196"/>
      <c r="L22" s="194"/>
      <c r="M22"/>
      <c r="N22"/>
      <c r="O22" s="96"/>
      <c r="P22" s="385"/>
      <c r="Q22" s="316"/>
      <c r="R22" s="194"/>
      <c r="S22" s="132"/>
      <c r="U22" s="132"/>
      <c r="V22" s="132"/>
      <c r="W22" s="132"/>
      <c r="X22" s="132"/>
      <c r="Y22" s="132"/>
      <c r="Z22" s="132"/>
      <c r="AA22" s="132"/>
      <c r="AB22" s="132"/>
    </row>
    <row r="23" spans="2:28" x14ac:dyDescent="0.2">
      <c r="B23" s="157"/>
      <c r="C23" s="158"/>
      <c r="D23" s="161"/>
      <c r="E23" s="196"/>
      <c r="F23" s="194"/>
      <c r="G23" s="132"/>
      <c r="H23" s="157"/>
      <c r="I23" s="158"/>
      <c r="J23" s="161"/>
      <c r="K23" s="196"/>
      <c r="L23" s="194"/>
      <c r="M23"/>
      <c r="N23"/>
      <c r="O23" s="96"/>
      <c r="P23" s="385"/>
      <c r="Q23" s="316"/>
      <c r="R23" s="194"/>
      <c r="S23" s="132"/>
      <c r="U23" s="132"/>
      <c r="V23" s="132"/>
      <c r="W23" s="132"/>
      <c r="X23" s="132"/>
      <c r="Y23" s="132"/>
      <c r="Z23" s="132"/>
      <c r="AA23" s="132"/>
      <c r="AB23" s="132"/>
    </row>
    <row r="24" spans="2:28" x14ac:dyDescent="0.2">
      <c r="B24" s="157"/>
      <c r="C24" s="158"/>
      <c r="D24" s="161"/>
      <c r="E24" s="196"/>
      <c r="F24" s="194"/>
      <c r="G24" s="132"/>
      <c r="H24" s="157"/>
      <c r="I24" s="158"/>
      <c r="J24" s="161"/>
      <c r="K24" s="196"/>
      <c r="L24" s="194"/>
      <c r="M24"/>
      <c r="N24"/>
      <c r="O24" s="96"/>
      <c r="P24" s="385"/>
      <c r="Q24" s="316"/>
      <c r="R24" s="194"/>
      <c r="S24" s="132"/>
      <c r="U24" s="132"/>
      <c r="V24" s="132"/>
      <c r="W24" s="132"/>
      <c r="X24" s="132"/>
      <c r="Y24" s="132"/>
      <c r="Z24" s="132"/>
      <c r="AA24" s="132"/>
      <c r="AB24" s="132"/>
    </row>
    <row r="25" spans="2:28" x14ac:dyDescent="0.2">
      <c r="B25" s="157"/>
      <c r="C25" s="158"/>
      <c r="D25" s="161"/>
      <c r="E25" s="196"/>
      <c r="F25" s="194"/>
      <c r="G25" s="132"/>
      <c r="H25" s="157"/>
      <c r="I25" s="158"/>
      <c r="J25" s="161"/>
      <c r="K25" s="196"/>
      <c r="L25" s="194"/>
      <c r="M25"/>
      <c r="N25"/>
      <c r="O25" s="96"/>
      <c r="P25" s="385"/>
      <c r="Q25" s="316"/>
      <c r="R25" s="194"/>
      <c r="S25" s="132"/>
      <c r="U25" s="132"/>
      <c r="V25" s="132"/>
      <c r="W25" s="132"/>
      <c r="X25" s="132"/>
      <c r="Y25" s="132"/>
      <c r="Z25" s="132"/>
      <c r="AA25" s="132"/>
      <c r="AB25" s="132"/>
    </row>
    <row r="26" spans="2:28" x14ac:dyDescent="0.2">
      <c r="B26" s="157"/>
      <c r="C26" s="158"/>
      <c r="D26" s="161"/>
      <c r="E26" s="196"/>
      <c r="F26" s="194"/>
      <c r="G26" s="132"/>
      <c r="H26" s="157"/>
      <c r="I26" s="158"/>
      <c r="J26" s="161"/>
      <c r="K26" s="196"/>
      <c r="L26" s="194"/>
      <c r="M26"/>
      <c r="N26"/>
      <c r="O26" s="96"/>
      <c r="P26" s="385"/>
      <c r="Q26" s="316"/>
      <c r="R26" s="194"/>
      <c r="S26" s="132"/>
      <c r="U26" s="132"/>
      <c r="V26" s="132"/>
      <c r="W26" s="132"/>
      <c r="X26" s="132"/>
      <c r="Y26" s="132"/>
      <c r="Z26" s="132"/>
      <c r="AA26" s="132"/>
      <c r="AB26" s="132"/>
    </row>
    <row r="27" spans="2:28" x14ac:dyDescent="0.2">
      <c r="B27" s="157"/>
      <c r="C27" s="158"/>
      <c r="D27" s="161"/>
      <c r="E27" s="196"/>
      <c r="F27" s="194"/>
      <c r="G27" s="132"/>
      <c r="H27" s="157"/>
      <c r="I27" s="158"/>
      <c r="J27" s="161"/>
      <c r="K27" s="196"/>
      <c r="L27" s="194"/>
      <c r="M27"/>
      <c r="N27"/>
      <c r="O27" s="96"/>
      <c r="P27" s="385"/>
      <c r="Q27" s="316"/>
      <c r="R27" s="194"/>
      <c r="S27" s="132"/>
    </row>
    <row r="28" spans="2:28" ht="19" thickBot="1" x14ac:dyDescent="0.25">
      <c r="B28" s="157"/>
      <c r="C28" s="158"/>
      <c r="D28" s="161"/>
      <c r="E28" s="196"/>
      <c r="F28" s="194"/>
      <c r="G28" s="132"/>
      <c r="H28" s="157"/>
      <c r="I28" s="158"/>
      <c r="J28" s="161"/>
      <c r="K28" s="196"/>
      <c r="L28" s="194"/>
      <c r="M28"/>
      <c r="N28"/>
      <c r="O28" s="97"/>
      <c r="P28" s="384"/>
      <c r="Q28" s="318"/>
      <c r="R28" s="195"/>
      <c r="S28" s="132"/>
    </row>
    <row r="29" spans="2:28" ht="19" thickBot="1" x14ac:dyDescent="0.25">
      <c r="B29" s="157"/>
      <c r="C29" s="158"/>
      <c r="D29" s="161"/>
      <c r="E29" s="196"/>
      <c r="F29" s="194"/>
      <c r="G29" s="132"/>
      <c r="H29" s="157"/>
      <c r="I29" s="158"/>
      <c r="J29" s="161"/>
      <c r="K29" s="196"/>
      <c r="L29" s="194"/>
      <c r="M29"/>
      <c r="N29"/>
      <c r="P29" s="339">
        <f>SUM(P19:P28)</f>
        <v>0</v>
      </c>
      <c r="Q29" s="356"/>
      <c r="R29" s="139">
        <f>SUM(R19:R28)</f>
        <v>0</v>
      </c>
      <c r="S29" s="132"/>
    </row>
    <row r="30" spans="2:28" x14ac:dyDescent="0.2">
      <c r="B30" s="157"/>
      <c r="C30" s="158"/>
      <c r="D30" s="161"/>
      <c r="E30" s="196"/>
      <c r="F30" s="194"/>
      <c r="G30" s="132"/>
      <c r="H30" s="157"/>
      <c r="I30" s="158"/>
      <c r="J30" s="161"/>
      <c r="K30" s="196"/>
      <c r="L30" s="194"/>
      <c r="M30"/>
      <c r="N30"/>
      <c r="O30" s="312" t="s">
        <v>337</v>
      </c>
      <c r="P30" s="313"/>
      <c r="Q30" s="313"/>
      <c r="R30" s="314"/>
      <c r="S30" s="132"/>
    </row>
    <row r="31" spans="2:28" x14ac:dyDescent="0.2">
      <c r="B31" s="157"/>
      <c r="C31" s="158"/>
      <c r="D31" s="161"/>
      <c r="E31" s="196"/>
      <c r="F31" s="194"/>
      <c r="G31" s="132"/>
      <c r="H31" s="157"/>
      <c r="I31" s="158"/>
      <c r="J31" s="161"/>
      <c r="K31" s="196"/>
      <c r="L31" s="194"/>
      <c r="M31"/>
      <c r="N31"/>
      <c r="O31" s="373" t="s">
        <v>280</v>
      </c>
      <c r="P31" s="374"/>
      <c r="Q31" s="374"/>
      <c r="R31" s="357"/>
      <c r="S31" s="132"/>
    </row>
    <row r="32" spans="2:28" x14ac:dyDescent="0.2">
      <c r="B32" s="157"/>
      <c r="C32" s="158"/>
      <c r="D32" s="161"/>
      <c r="E32" s="196"/>
      <c r="F32" s="194"/>
      <c r="G32" s="132"/>
      <c r="H32" s="157"/>
      <c r="I32" s="158"/>
      <c r="J32" s="161"/>
      <c r="K32" s="196"/>
      <c r="L32" s="194"/>
      <c r="M32"/>
      <c r="N32"/>
      <c r="O32" s="140" t="s">
        <v>484</v>
      </c>
      <c r="P32" s="322" t="s">
        <v>277</v>
      </c>
      <c r="Q32" s="323"/>
      <c r="R32" s="141" t="s">
        <v>276</v>
      </c>
      <c r="S32" s="132"/>
    </row>
    <row r="33" spans="2:24" ht="19" thickBot="1" x14ac:dyDescent="0.25">
      <c r="B33" s="159"/>
      <c r="C33" s="160"/>
      <c r="D33" s="162"/>
      <c r="E33" s="197"/>
      <c r="F33" s="195"/>
      <c r="G33" s="132"/>
      <c r="H33" s="159"/>
      <c r="I33" s="160"/>
      <c r="J33" s="162"/>
      <c r="K33" s="197"/>
      <c r="L33" s="195"/>
      <c r="M33"/>
      <c r="N33"/>
      <c r="O33" s="96"/>
      <c r="P33" s="315"/>
      <c r="Q33" s="316"/>
      <c r="R33" s="194"/>
      <c r="S33" s="132"/>
    </row>
    <row r="34" spans="2:24" ht="18" customHeight="1" thickBot="1" x14ac:dyDescent="0.25">
      <c r="E34" s="139">
        <f>SUM(E19:E33)</f>
        <v>0</v>
      </c>
      <c r="F34" s="139">
        <f>SUM(F19:F33)</f>
        <v>0</v>
      </c>
      <c r="K34" s="139">
        <f>SUM(K19:K33)</f>
        <v>0</v>
      </c>
      <c r="L34" s="139">
        <f>SUM(L19:L33)</f>
        <v>0</v>
      </c>
      <c r="M34" s="163"/>
      <c r="N34" s="139"/>
      <c r="O34" s="96"/>
      <c r="P34" s="315"/>
      <c r="Q34" s="316"/>
      <c r="R34" s="194"/>
    </row>
    <row r="35" spans="2:24" x14ac:dyDescent="0.2">
      <c r="B35" s="360" t="s">
        <v>504</v>
      </c>
      <c r="C35" s="361"/>
      <c r="D35" s="362"/>
      <c r="E35" s="362"/>
      <c r="F35" s="362"/>
      <c r="G35" s="362"/>
      <c r="H35" s="363"/>
      <c r="O35" s="96"/>
      <c r="P35" s="315"/>
      <c r="Q35" s="316"/>
      <c r="R35" s="194"/>
    </row>
    <row r="36" spans="2:24" x14ac:dyDescent="0.2">
      <c r="B36" s="390" t="s">
        <v>595</v>
      </c>
      <c r="C36" s="391"/>
      <c r="D36" s="415">
        <f>D16</f>
        <v>0</v>
      </c>
      <c r="E36" s="415"/>
      <c r="F36" s="355"/>
      <c r="G36" s="356"/>
      <c r="H36" s="357"/>
      <c r="J36" s="376" t="s">
        <v>405</v>
      </c>
      <c r="K36" s="377"/>
      <c r="L36" s="377"/>
      <c r="M36" s="378"/>
      <c r="N36" s="142"/>
      <c r="O36" s="96"/>
      <c r="P36" s="315"/>
      <c r="Q36" s="316"/>
      <c r="R36" s="194"/>
    </row>
    <row r="37" spans="2:24" ht="17" customHeight="1" x14ac:dyDescent="0.2">
      <c r="B37" s="409" t="s">
        <v>569</v>
      </c>
      <c r="C37" s="410"/>
      <c r="D37" s="370" t="s">
        <v>484</v>
      </c>
      <c r="E37" s="370" t="s">
        <v>277</v>
      </c>
      <c r="F37" s="370" t="s">
        <v>276</v>
      </c>
      <c r="G37" s="460" t="s">
        <v>279</v>
      </c>
      <c r="H37" s="461"/>
      <c r="J37" s="348" t="s">
        <v>182</v>
      </c>
      <c r="K37" s="349"/>
      <c r="L37" s="349"/>
      <c r="M37" s="350"/>
      <c r="N37" s="143"/>
      <c r="O37" s="96"/>
      <c r="P37" s="315"/>
      <c r="Q37" s="316"/>
      <c r="R37" s="194"/>
      <c r="X37" s="132"/>
    </row>
    <row r="38" spans="2:24" ht="17" customHeight="1" x14ac:dyDescent="0.2">
      <c r="B38" s="136" t="s">
        <v>149</v>
      </c>
      <c r="C38" s="137" t="s">
        <v>150</v>
      </c>
      <c r="D38" s="371"/>
      <c r="E38" s="372"/>
      <c r="F38" s="372"/>
      <c r="G38" s="462"/>
      <c r="H38" s="463"/>
      <c r="J38" s="416" t="s">
        <v>183</v>
      </c>
      <c r="K38" s="417"/>
      <c r="L38" s="417"/>
      <c r="M38" s="418"/>
      <c r="O38" s="96"/>
      <c r="P38" s="315"/>
      <c r="Q38" s="316"/>
      <c r="R38" s="194"/>
      <c r="X38" s="132"/>
    </row>
    <row r="39" spans="2:24" x14ac:dyDescent="0.2">
      <c r="B39" s="157"/>
      <c r="C39" s="158"/>
      <c r="D39" s="161"/>
      <c r="E39" s="196"/>
      <c r="F39" s="196"/>
      <c r="G39" s="324"/>
      <c r="H39" s="325"/>
      <c r="N39" s="142"/>
      <c r="O39" s="96"/>
      <c r="P39" s="315"/>
      <c r="Q39" s="316"/>
      <c r="R39" s="194"/>
      <c r="U39"/>
      <c r="V39"/>
      <c r="W39"/>
      <c r="X39"/>
    </row>
    <row r="40" spans="2:24" x14ac:dyDescent="0.2">
      <c r="B40" s="157"/>
      <c r="C40" s="158"/>
      <c r="D40" s="161"/>
      <c r="E40" s="196"/>
      <c r="F40" s="196"/>
      <c r="G40" s="324"/>
      <c r="H40" s="325"/>
      <c r="N40" s="143"/>
      <c r="O40" s="96"/>
      <c r="P40" s="315"/>
      <c r="Q40" s="316"/>
      <c r="R40" s="194"/>
      <c r="U40"/>
      <c r="V40"/>
      <c r="W40"/>
      <c r="X40"/>
    </row>
    <row r="41" spans="2:24" x14ac:dyDescent="0.2">
      <c r="B41" s="157"/>
      <c r="C41" s="158"/>
      <c r="D41" s="161"/>
      <c r="E41" s="196"/>
      <c r="F41" s="196"/>
      <c r="G41" s="324"/>
      <c r="H41" s="325"/>
      <c r="J41" s="309" t="s">
        <v>406</v>
      </c>
      <c r="K41" s="310"/>
      <c r="L41" s="310"/>
      <c r="M41" s="311"/>
      <c r="O41" s="96"/>
      <c r="P41" s="315"/>
      <c r="Q41" s="316"/>
      <c r="R41" s="194"/>
    </row>
    <row r="42" spans="2:24" ht="19" thickBot="1" x14ac:dyDescent="0.25">
      <c r="B42" s="157"/>
      <c r="C42" s="158"/>
      <c r="D42" s="161"/>
      <c r="E42" s="196"/>
      <c r="F42" s="196"/>
      <c r="G42" s="324"/>
      <c r="H42" s="325"/>
      <c r="J42" s="465" t="s">
        <v>516</v>
      </c>
      <c r="K42" s="466"/>
      <c r="L42" s="466"/>
      <c r="M42" s="467"/>
      <c r="N42" s="142"/>
      <c r="O42" s="97"/>
      <c r="P42" s="317"/>
      <c r="Q42" s="318"/>
      <c r="R42" s="195"/>
    </row>
    <row r="43" spans="2:24" ht="19" thickBot="1" x14ac:dyDescent="0.25">
      <c r="B43" s="157"/>
      <c r="C43" s="158"/>
      <c r="D43" s="161"/>
      <c r="E43" s="196"/>
      <c r="F43" s="196"/>
      <c r="G43" s="324"/>
      <c r="H43" s="325"/>
      <c r="J43" s="468" t="s">
        <v>383</v>
      </c>
      <c r="K43" s="469"/>
      <c r="L43" s="469"/>
      <c r="M43" s="470"/>
      <c r="N43" s="135"/>
      <c r="P43" s="319">
        <f>SUM(P33:P42)</f>
        <v>0</v>
      </c>
      <c r="Q43" s="320"/>
      <c r="R43" s="139">
        <f>SUM(R33:R42)</f>
        <v>0</v>
      </c>
    </row>
    <row r="44" spans="2:24" ht="19" thickBot="1" x14ac:dyDescent="0.25">
      <c r="B44" s="159"/>
      <c r="C44" s="160"/>
      <c r="D44" s="162"/>
      <c r="E44" s="197"/>
      <c r="F44" s="197"/>
      <c r="G44" s="404"/>
      <c r="H44" s="405"/>
      <c r="O44" s="312" t="s">
        <v>4</v>
      </c>
      <c r="P44" s="321"/>
      <c r="Q44" s="321"/>
      <c r="R44" s="314"/>
    </row>
    <row r="45" spans="2:24" ht="19" thickBot="1" x14ac:dyDescent="0.25">
      <c r="B45" s="132"/>
      <c r="C45" s="132"/>
      <c r="D45" s="132"/>
      <c r="E45" s="139">
        <f>SUM(E39:E44)</f>
        <v>0</v>
      </c>
      <c r="F45" s="139">
        <f>SUM(F39:F44)</f>
        <v>0</v>
      </c>
      <c r="G45" s="132"/>
      <c r="H45" s="132"/>
      <c r="O45" s="209"/>
      <c r="P45" s="208"/>
      <c r="Q45" s="221" t="s">
        <v>125</v>
      </c>
      <c r="R45" s="281"/>
    </row>
    <row r="46" spans="2:24" x14ac:dyDescent="0.2">
      <c r="B46" s="453" t="s">
        <v>275</v>
      </c>
      <c r="C46" s="474"/>
      <c r="D46" s="475"/>
      <c r="E46" s="145" t="s">
        <v>596</v>
      </c>
      <c r="F46" s="119"/>
      <c r="G46" s="132"/>
      <c r="H46" s="360" t="s">
        <v>503</v>
      </c>
      <c r="I46" s="362"/>
      <c r="J46" s="362"/>
      <c r="K46" s="362"/>
      <c r="L46" s="362"/>
      <c r="M46" s="363"/>
      <c r="N46" s="143"/>
      <c r="O46" s="140" t="s">
        <v>484</v>
      </c>
      <c r="P46" s="322" t="s">
        <v>277</v>
      </c>
      <c r="Q46" s="323"/>
      <c r="R46" s="141" t="s">
        <v>276</v>
      </c>
    </row>
    <row r="47" spans="2:24" x14ac:dyDescent="0.2">
      <c r="B47" s="144" t="s">
        <v>484</v>
      </c>
      <c r="C47" s="395" t="s">
        <v>66</v>
      </c>
      <c r="D47" s="396"/>
      <c r="E47" s="396"/>
      <c r="F47" s="397"/>
      <c r="G47" s="132"/>
      <c r="H47" s="144" t="s">
        <v>484</v>
      </c>
      <c r="I47" s="395" t="s">
        <v>277</v>
      </c>
      <c r="J47" s="403"/>
      <c r="K47" s="284" t="s">
        <v>276</v>
      </c>
      <c r="L47" s="328" t="s">
        <v>278</v>
      </c>
      <c r="M47" s="406"/>
      <c r="N47" s="132"/>
      <c r="O47" s="96"/>
      <c r="P47" s="315"/>
      <c r="Q47" s="316"/>
      <c r="R47" s="194"/>
    </row>
    <row r="48" spans="2:24" x14ac:dyDescent="0.2">
      <c r="B48" s="96"/>
      <c r="C48" s="401"/>
      <c r="D48" s="351"/>
      <c r="E48" s="351"/>
      <c r="F48" s="402"/>
      <c r="G48" s="132"/>
      <c r="H48" s="96"/>
      <c r="I48" s="450"/>
      <c r="J48" s="451"/>
      <c r="K48" s="292"/>
      <c r="L48" s="324"/>
      <c r="M48" s="325"/>
      <c r="N48" s="135"/>
      <c r="O48" s="96"/>
      <c r="P48" s="315"/>
      <c r="Q48" s="316"/>
      <c r="R48" s="194"/>
    </row>
    <row r="49" spans="2:26" x14ac:dyDescent="0.2">
      <c r="B49" s="96"/>
      <c r="C49" s="401"/>
      <c r="D49" s="351"/>
      <c r="E49" s="351"/>
      <c r="F49" s="402"/>
      <c r="G49" s="132"/>
      <c r="H49" s="96"/>
      <c r="I49" s="450"/>
      <c r="J49" s="451"/>
      <c r="K49" s="292"/>
      <c r="L49" s="324"/>
      <c r="M49" s="325"/>
      <c r="N49" s="138"/>
      <c r="O49" s="96"/>
      <c r="P49" s="315"/>
      <c r="Q49" s="316"/>
      <c r="R49" s="194"/>
    </row>
    <row r="50" spans="2:26" ht="19" thickBot="1" x14ac:dyDescent="0.25">
      <c r="B50" s="96"/>
      <c r="C50" s="401"/>
      <c r="D50" s="351"/>
      <c r="E50" s="351"/>
      <c r="F50" s="402"/>
      <c r="G50" s="132"/>
      <c r="H50" s="97"/>
      <c r="I50" s="407"/>
      <c r="J50" s="408"/>
      <c r="K50" s="291"/>
      <c r="L50" s="404"/>
      <c r="M50" s="405"/>
      <c r="N50" s="138"/>
      <c r="O50" s="96"/>
      <c r="P50" s="315"/>
      <c r="Q50" s="316"/>
      <c r="R50" s="194"/>
    </row>
    <row r="51" spans="2:26" ht="19" thickBot="1" x14ac:dyDescent="0.25">
      <c r="B51" s="97"/>
      <c r="C51" s="442"/>
      <c r="D51" s="443"/>
      <c r="E51" s="443"/>
      <c r="F51" s="444"/>
      <c r="I51" s="319">
        <f>SUM(I48:J50)</f>
        <v>0</v>
      </c>
      <c r="J51" s="438"/>
      <c r="K51" s="286">
        <f>SUM(K48:K50)</f>
        <v>0</v>
      </c>
      <c r="N51" s="138"/>
      <c r="O51" s="96"/>
      <c r="P51" s="315"/>
      <c r="Q51" s="316"/>
      <c r="R51" s="194"/>
    </row>
    <row r="52" spans="2:26" ht="19" thickBot="1" x14ac:dyDescent="0.25">
      <c r="G52" s="132"/>
      <c r="H52" s="360" t="s">
        <v>513</v>
      </c>
      <c r="I52" s="398"/>
      <c r="J52" s="398"/>
      <c r="K52" s="398"/>
      <c r="L52" s="398"/>
      <c r="M52" s="314"/>
      <c r="N52" s="138"/>
      <c r="O52" s="96"/>
      <c r="P52" s="315"/>
      <c r="Q52" s="316"/>
      <c r="R52" s="198"/>
    </row>
    <row r="53" spans="2:26" x14ac:dyDescent="0.2">
      <c r="B53" s="453" t="s">
        <v>274</v>
      </c>
      <c r="C53" s="454"/>
      <c r="D53" s="455"/>
      <c r="E53" s="145" t="s">
        <v>96</v>
      </c>
      <c r="F53" s="119"/>
      <c r="G53" s="132"/>
      <c r="H53" s="449" t="s">
        <v>594</v>
      </c>
      <c r="I53" s="356"/>
      <c r="J53" s="356"/>
      <c r="K53" s="356"/>
      <c r="L53" s="399"/>
      <c r="M53" s="400"/>
      <c r="N53" s="138"/>
      <c r="O53" s="96"/>
      <c r="P53" s="315"/>
      <c r="Q53" s="316"/>
      <c r="R53" s="194"/>
    </row>
    <row r="54" spans="2:26" x14ac:dyDescent="0.2">
      <c r="B54" s="144" t="s">
        <v>484</v>
      </c>
      <c r="C54" s="395" t="s">
        <v>66</v>
      </c>
      <c r="D54" s="396"/>
      <c r="E54" s="396"/>
      <c r="F54" s="397"/>
      <c r="G54" s="132"/>
      <c r="H54" s="144" t="s">
        <v>484</v>
      </c>
      <c r="I54" s="328" t="s">
        <v>277</v>
      </c>
      <c r="J54" s="323"/>
      <c r="K54" s="284" t="s">
        <v>276</v>
      </c>
      <c r="L54" s="328" t="s">
        <v>59</v>
      </c>
      <c r="M54" s="329"/>
      <c r="N54" s="138"/>
      <c r="O54" s="96"/>
      <c r="P54" s="315"/>
      <c r="Q54" s="316"/>
      <c r="R54" s="194"/>
    </row>
    <row r="55" spans="2:26" x14ac:dyDescent="0.2">
      <c r="B55" s="96"/>
      <c r="C55" s="147" t="s">
        <v>350</v>
      </c>
      <c r="D55" s="289"/>
      <c r="E55" s="289"/>
      <c r="F55" s="146"/>
      <c r="G55" s="132"/>
      <c r="H55" s="96"/>
      <c r="I55" s="450"/>
      <c r="J55" s="451"/>
      <c r="K55" s="292"/>
      <c r="L55" s="326" t="s">
        <v>60</v>
      </c>
      <c r="M55" s="327"/>
      <c r="N55" s="286"/>
      <c r="O55" s="96"/>
      <c r="P55" s="315"/>
      <c r="Q55" s="316"/>
      <c r="R55" s="194"/>
    </row>
    <row r="56" spans="2:26" ht="19" thickBot="1" x14ac:dyDescent="0.25">
      <c r="B56" s="97"/>
      <c r="C56" s="456" t="s">
        <v>288</v>
      </c>
      <c r="D56" s="457"/>
      <c r="E56" s="457"/>
      <c r="F56" s="458"/>
      <c r="G56" s="132"/>
      <c r="H56" s="96"/>
      <c r="I56" s="450"/>
      <c r="J56" s="451"/>
      <c r="K56" s="292"/>
      <c r="L56" s="326" t="s">
        <v>60</v>
      </c>
      <c r="M56" s="327"/>
      <c r="N56" s="132"/>
      <c r="O56" s="97"/>
      <c r="P56" s="317"/>
      <c r="Q56" s="318"/>
      <c r="R56" s="195"/>
      <c r="W56" s="132"/>
      <c r="X56" s="132"/>
      <c r="Y56" s="132"/>
      <c r="Z56" s="132"/>
    </row>
    <row r="57" spans="2:26" x14ac:dyDescent="0.2">
      <c r="G57" s="132"/>
      <c r="H57" s="96"/>
      <c r="I57" s="450"/>
      <c r="J57" s="451"/>
      <c r="K57" s="292"/>
      <c r="L57" s="326" t="s">
        <v>60</v>
      </c>
      <c r="M57" s="327"/>
      <c r="N57" s="132"/>
      <c r="P57" s="339">
        <f>SUM(P47:P56)</f>
        <v>0</v>
      </c>
      <c r="Q57" s="340"/>
      <c r="R57" s="286">
        <f>SUM(R47:R56)</f>
        <v>0</v>
      </c>
      <c r="W57" s="132"/>
      <c r="X57" s="132"/>
      <c r="Y57" s="132"/>
      <c r="Z57" s="132"/>
    </row>
    <row r="58" spans="2:26" x14ac:dyDescent="0.2">
      <c r="G58" s="132"/>
      <c r="H58" s="96"/>
      <c r="I58" s="450"/>
      <c r="J58" s="451"/>
      <c r="K58" s="292"/>
      <c r="L58" s="326" t="s">
        <v>60</v>
      </c>
      <c r="M58" s="327"/>
      <c r="W58" s="132"/>
      <c r="X58" s="132"/>
      <c r="Y58" s="132"/>
      <c r="Z58" s="132"/>
    </row>
    <row r="59" spans="2:26" ht="19" thickBot="1" x14ac:dyDescent="0.25">
      <c r="B59" s="452" t="s">
        <v>181</v>
      </c>
      <c r="C59" s="343"/>
      <c r="D59" s="440"/>
      <c r="E59" s="440"/>
      <c r="F59" s="440"/>
      <c r="G59" s="132"/>
      <c r="H59" s="97"/>
      <c r="I59" s="407"/>
      <c r="J59" s="408"/>
      <c r="K59" s="291"/>
      <c r="L59" s="472" t="s">
        <v>60</v>
      </c>
      <c r="M59" s="473"/>
      <c r="Q59" s="341" t="s">
        <v>273</v>
      </c>
      <c r="R59" s="341"/>
      <c r="V59" s="132"/>
    </row>
    <row r="60" spans="2:26" ht="19" thickBot="1" x14ac:dyDescent="0.25">
      <c r="B60" s="345"/>
      <c r="C60" s="440"/>
      <c r="D60" s="440"/>
      <c r="E60" s="440"/>
      <c r="F60" s="440"/>
      <c r="G60" s="132"/>
      <c r="H60" s="132"/>
      <c r="I60" s="447">
        <f>SUM(I55:I59)</f>
        <v>0</v>
      </c>
      <c r="J60" s="343"/>
      <c r="K60" s="286">
        <f>SUM(K55:K59)</f>
        <v>0</v>
      </c>
      <c r="L60" s="132"/>
      <c r="P60" s="308" t="s">
        <v>485</v>
      </c>
      <c r="Q60" s="148">
        <f>SUM(D19:D33)</f>
        <v>0</v>
      </c>
      <c r="R60" s="459">
        <f>SUM(Q60:Q65)</f>
        <v>0</v>
      </c>
      <c r="S60" s="132"/>
      <c r="V60" s="132"/>
      <c r="W60"/>
      <c r="X60"/>
    </row>
    <row r="61" spans="2:26" x14ac:dyDescent="0.2">
      <c r="B61" s="445"/>
      <c r="C61" s="445"/>
      <c r="D61" s="445"/>
      <c r="E61" s="445"/>
      <c r="F61" s="351"/>
      <c r="G61" s="132"/>
      <c r="H61" s="330" t="s">
        <v>512</v>
      </c>
      <c r="I61" s="331"/>
      <c r="J61" s="331"/>
      <c r="K61" s="331"/>
      <c r="L61" s="331"/>
      <c r="M61" s="332"/>
      <c r="P61" s="308" t="s">
        <v>486</v>
      </c>
      <c r="Q61" s="148">
        <f>SUM(J19:J33)</f>
        <v>0</v>
      </c>
      <c r="R61" s="464"/>
      <c r="S61" s="132"/>
      <c r="W61"/>
      <c r="X61"/>
    </row>
    <row r="62" spans="2:26" x14ac:dyDescent="0.2">
      <c r="B62" s="445"/>
      <c r="C62" s="351"/>
      <c r="D62" s="351"/>
      <c r="E62" s="351"/>
      <c r="F62" s="351"/>
      <c r="G62" s="132"/>
      <c r="H62" s="333"/>
      <c r="I62" s="334"/>
      <c r="J62" s="334"/>
      <c r="K62" s="334"/>
      <c r="L62" s="334"/>
      <c r="M62" s="335"/>
      <c r="P62" s="308" t="s">
        <v>384</v>
      </c>
      <c r="Q62" s="148">
        <f>SUM(D39:D44)</f>
        <v>0</v>
      </c>
      <c r="R62" s="464"/>
      <c r="S62" s="132"/>
      <c r="V62" s="132"/>
      <c r="W62"/>
      <c r="X62"/>
    </row>
    <row r="63" spans="2:26" x14ac:dyDescent="0.2">
      <c r="B63" s="445"/>
      <c r="C63" s="445"/>
      <c r="D63" s="445"/>
      <c r="E63" s="445"/>
      <c r="F63" s="445"/>
      <c r="H63" s="333"/>
      <c r="I63" s="334"/>
      <c r="J63" s="334"/>
      <c r="K63" s="334"/>
      <c r="L63" s="334"/>
      <c r="M63" s="335"/>
      <c r="P63" s="308" t="s">
        <v>333</v>
      </c>
      <c r="Q63" s="148">
        <f>SUM(O19:O28)</f>
        <v>0</v>
      </c>
      <c r="R63" s="464"/>
      <c r="S63" s="132"/>
      <c r="U63" s="132"/>
      <c r="W63"/>
      <c r="X63"/>
    </row>
    <row r="64" spans="2:26" x14ac:dyDescent="0.2">
      <c r="C64" s="167"/>
      <c r="D64" s="446"/>
      <c r="E64" s="356"/>
      <c r="F64" s="356"/>
      <c r="H64" s="333"/>
      <c r="I64" s="334"/>
      <c r="J64" s="334"/>
      <c r="K64" s="334"/>
      <c r="L64" s="334"/>
      <c r="M64" s="335"/>
      <c r="P64" s="308" t="s">
        <v>334</v>
      </c>
      <c r="Q64" s="148">
        <f>SUM(O33:O42)</f>
        <v>0</v>
      </c>
      <c r="R64" s="464"/>
      <c r="S64" s="132"/>
      <c r="W64"/>
      <c r="X64"/>
    </row>
    <row r="65" spans="2:26" ht="19" thickBot="1" x14ac:dyDescent="0.25">
      <c r="B65" s="164" t="s">
        <v>495</v>
      </c>
      <c r="C65" s="167"/>
      <c r="D65" s="439"/>
      <c r="E65" s="440"/>
      <c r="F65" s="440"/>
      <c r="G65" s="132"/>
      <c r="H65" s="336"/>
      <c r="I65" s="337"/>
      <c r="J65" s="337"/>
      <c r="K65" s="337"/>
      <c r="L65" s="337"/>
      <c r="M65" s="338"/>
      <c r="P65" s="308" t="s">
        <v>332</v>
      </c>
      <c r="Q65" s="148">
        <f>SUM(O47:O56)</f>
        <v>0</v>
      </c>
      <c r="R65" s="372"/>
      <c r="S65" s="132"/>
      <c r="W65"/>
      <c r="X65"/>
    </row>
    <row r="66" spans="2:26" ht="19" thickBot="1" x14ac:dyDescent="0.25">
      <c r="B66" s="288" t="s">
        <v>560</v>
      </c>
      <c r="C66" s="167"/>
      <c r="D66" s="439"/>
      <c r="E66" s="440"/>
      <c r="F66" s="440"/>
      <c r="I66" s="132"/>
      <c r="J66" s="132"/>
      <c r="K66" s="132"/>
      <c r="P66" s="308" t="s">
        <v>51</v>
      </c>
      <c r="Q66" s="148">
        <f>SUM(H48:H50)</f>
        <v>0</v>
      </c>
      <c r="R66" s="459">
        <f>Q66+Q67</f>
        <v>0</v>
      </c>
      <c r="S66" s="132"/>
      <c r="W66"/>
      <c r="X66"/>
    </row>
    <row r="67" spans="2:26" x14ac:dyDescent="0.2">
      <c r="B67" s="288" t="s">
        <v>556</v>
      </c>
      <c r="C67" s="167"/>
      <c r="D67" s="441"/>
      <c r="E67" s="441"/>
      <c r="F67" s="128"/>
      <c r="H67" s="330" t="s">
        <v>512</v>
      </c>
      <c r="I67" s="331"/>
      <c r="J67" s="331"/>
      <c r="K67" s="331"/>
      <c r="L67" s="331"/>
      <c r="M67" s="332"/>
      <c r="P67" s="308" t="s">
        <v>542</v>
      </c>
      <c r="Q67" s="148">
        <f>SUM(H55:H59)</f>
        <v>0</v>
      </c>
      <c r="R67" s="471"/>
      <c r="S67" s="132"/>
      <c r="W67"/>
      <c r="X67"/>
    </row>
    <row r="68" spans="2:26" ht="18" customHeight="1" x14ac:dyDescent="0.2">
      <c r="B68" s="448" t="s">
        <v>179</v>
      </c>
      <c r="C68" s="448"/>
      <c r="D68" s="285"/>
      <c r="E68" s="167" t="s">
        <v>180</v>
      </c>
      <c r="F68" s="199"/>
      <c r="H68" s="333"/>
      <c r="I68" s="334"/>
      <c r="J68" s="334"/>
      <c r="K68" s="334"/>
      <c r="L68" s="334"/>
      <c r="M68" s="335"/>
      <c r="O68" s="132"/>
      <c r="P68" s="308" t="s">
        <v>515</v>
      </c>
      <c r="Q68" s="148">
        <f>SUM(B48:B51)</f>
        <v>0</v>
      </c>
      <c r="R68" s="459">
        <f>Q68+Q69</f>
        <v>0</v>
      </c>
      <c r="S68" s="132"/>
      <c r="W68"/>
      <c r="X68"/>
    </row>
    <row r="69" spans="2:26" x14ac:dyDescent="0.2">
      <c r="B69" s="128" t="s">
        <v>499</v>
      </c>
      <c r="C69" s="167"/>
      <c r="D69" s="439"/>
      <c r="E69" s="440"/>
      <c r="F69" s="128"/>
      <c r="H69" s="333"/>
      <c r="I69" s="334"/>
      <c r="J69" s="334"/>
      <c r="K69" s="334"/>
      <c r="L69" s="334"/>
      <c r="M69" s="335"/>
      <c r="O69" s="132"/>
      <c r="P69" s="308" t="s">
        <v>335</v>
      </c>
      <c r="Q69" s="148">
        <f>SUM(B55:B56)</f>
        <v>0</v>
      </c>
      <c r="R69" s="372"/>
      <c r="S69" s="132"/>
      <c r="W69"/>
      <c r="X69"/>
    </row>
    <row r="70" spans="2:26" ht="17" customHeight="1" x14ac:dyDescent="0.2">
      <c r="B70" s="132"/>
      <c r="C70" s="2"/>
      <c r="D70" s="132"/>
      <c r="E70" s="132"/>
      <c r="F70" s="132"/>
      <c r="G70" s="132"/>
      <c r="H70" s="333"/>
      <c r="I70" s="334"/>
      <c r="J70" s="334"/>
      <c r="K70" s="334"/>
      <c r="L70" s="334"/>
      <c r="M70" s="335"/>
      <c r="N70" s="132"/>
      <c r="R70" s="166"/>
      <c r="U70" s="128"/>
      <c r="W70"/>
      <c r="X70"/>
    </row>
    <row r="71" spans="2:26" ht="17" customHeight="1" thickBot="1" x14ac:dyDescent="0.25">
      <c r="B71" s="437" t="s">
        <v>178</v>
      </c>
      <c r="C71" s="437"/>
      <c r="D71" s="437"/>
      <c r="E71" s="437"/>
      <c r="F71" s="437"/>
      <c r="G71" s="290"/>
      <c r="H71" s="336"/>
      <c r="I71" s="337"/>
      <c r="J71" s="337"/>
      <c r="K71" s="337"/>
      <c r="L71" s="337"/>
      <c r="M71" s="338"/>
      <c r="N71" s="132"/>
      <c r="O71" s="290"/>
      <c r="U71" s="128"/>
      <c r="W71"/>
      <c r="X71"/>
    </row>
    <row r="72" spans="2:26" ht="14" customHeight="1" x14ac:dyDescent="0.2">
      <c r="B72" s="437"/>
      <c r="C72" s="437"/>
      <c r="D72" s="437"/>
      <c r="E72" s="437"/>
      <c r="F72" s="437"/>
      <c r="I72" s="132"/>
      <c r="J72" s="132"/>
      <c r="K72" s="132"/>
      <c r="L72" s="132"/>
      <c r="M72" s="132"/>
      <c r="N72" s="132"/>
      <c r="R72" s="165" t="s">
        <v>636</v>
      </c>
      <c r="U72" s="128"/>
    </row>
    <row r="73" spans="2:26" ht="6" customHeight="1" x14ac:dyDescent="0.2">
      <c r="B73" s="290"/>
      <c r="C73" s="290"/>
      <c r="D73" s="290"/>
      <c r="E73" s="290"/>
      <c r="Z73" s="128"/>
    </row>
    <row r="74" spans="2:26" x14ac:dyDescent="0.2">
      <c r="Z74" s="128"/>
    </row>
    <row r="75" spans="2:26" x14ac:dyDescent="0.2">
      <c r="Z75" s="128"/>
    </row>
  </sheetData>
  <sheetProtection password="CA8A" sheet="1" objects="1" scenarios="1" selectLockedCells="1"/>
  <mergeCells count="168">
    <mergeCell ref="C54:F54"/>
    <mergeCell ref="C56:F56"/>
    <mergeCell ref="I58:J58"/>
    <mergeCell ref="R68:R69"/>
    <mergeCell ref="G41:H41"/>
    <mergeCell ref="G42:H42"/>
    <mergeCell ref="D37:D38"/>
    <mergeCell ref="E37:E38"/>
    <mergeCell ref="F37:F38"/>
    <mergeCell ref="G37:H38"/>
    <mergeCell ref="R60:R65"/>
    <mergeCell ref="I59:J59"/>
    <mergeCell ref="J42:M42"/>
    <mergeCell ref="G43:H43"/>
    <mergeCell ref="G44:H44"/>
    <mergeCell ref="J43:M43"/>
    <mergeCell ref="L57:M57"/>
    <mergeCell ref="R66:R67"/>
    <mergeCell ref="L59:M59"/>
    <mergeCell ref="H46:M46"/>
    <mergeCell ref="I48:J48"/>
    <mergeCell ref="I49:J49"/>
    <mergeCell ref="G40:H40"/>
    <mergeCell ref="B46:D46"/>
    <mergeCell ref="B71:F72"/>
    <mergeCell ref="I51:J51"/>
    <mergeCell ref="D65:F65"/>
    <mergeCell ref="D66:F66"/>
    <mergeCell ref="D67:E67"/>
    <mergeCell ref="C50:F50"/>
    <mergeCell ref="C51:F51"/>
    <mergeCell ref="B63:F63"/>
    <mergeCell ref="D64:F64"/>
    <mergeCell ref="I60:J60"/>
    <mergeCell ref="D69:E69"/>
    <mergeCell ref="B60:F60"/>
    <mergeCell ref="B61:F61"/>
    <mergeCell ref="B62:F62"/>
    <mergeCell ref="B68:C68"/>
    <mergeCell ref="D59:F59"/>
    <mergeCell ref="I54:J54"/>
    <mergeCell ref="H53:K53"/>
    <mergeCell ref="I55:J55"/>
    <mergeCell ref="I56:J56"/>
    <mergeCell ref="I57:J57"/>
    <mergeCell ref="H67:M71"/>
    <mergeCell ref="B59:C59"/>
    <mergeCell ref="B53:D53"/>
    <mergeCell ref="B2:F3"/>
    <mergeCell ref="O2:R2"/>
    <mergeCell ref="O3:R3"/>
    <mergeCell ref="B4:D4"/>
    <mergeCell ref="E4:F4"/>
    <mergeCell ref="O4:R4"/>
    <mergeCell ref="O5:R5"/>
    <mergeCell ref="O10:P10"/>
    <mergeCell ref="Q10:R10"/>
    <mergeCell ref="H7:L8"/>
    <mergeCell ref="O7:P7"/>
    <mergeCell ref="O8:P8"/>
    <mergeCell ref="Q8:R8"/>
    <mergeCell ref="H10:J10"/>
    <mergeCell ref="B5:D5"/>
    <mergeCell ref="E5:F5"/>
    <mergeCell ref="B7:C7"/>
    <mergeCell ref="B8:C8"/>
    <mergeCell ref="D7:F7"/>
    <mergeCell ref="D8:F8"/>
    <mergeCell ref="B17:C17"/>
    <mergeCell ref="H17:I17"/>
    <mergeCell ref="D13:E13"/>
    <mergeCell ref="E17:E18"/>
    <mergeCell ref="D36:E36"/>
    <mergeCell ref="D17:D18"/>
    <mergeCell ref="B37:C37"/>
    <mergeCell ref="G39:H39"/>
    <mergeCell ref="J38:M38"/>
    <mergeCell ref="C47:F47"/>
    <mergeCell ref="H52:M52"/>
    <mergeCell ref="L53:M53"/>
    <mergeCell ref="C49:F49"/>
    <mergeCell ref="I47:J47"/>
    <mergeCell ref="C48:F48"/>
    <mergeCell ref="L50:M50"/>
    <mergeCell ref="L47:M47"/>
    <mergeCell ref="I50:J50"/>
    <mergeCell ref="P47:Q47"/>
    <mergeCell ref="O15:R15"/>
    <mergeCell ref="K10:L10"/>
    <mergeCell ref="P28:Q28"/>
    <mergeCell ref="P29:Q29"/>
    <mergeCell ref="P19:Q19"/>
    <mergeCell ref="P20:Q20"/>
    <mergeCell ref="P21:Q21"/>
    <mergeCell ref="P22:Q22"/>
    <mergeCell ref="P23:Q23"/>
    <mergeCell ref="R17:R18"/>
    <mergeCell ref="O17:O18"/>
    <mergeCell ref="P17:Q18"/>
    <mergeCell ref="P24:Q24"/>
    <mergeCell ref="P25:Q25"/>
    <mergeCell ref="P26:Q26"/>
    <mergeCell ref="P27:Q27"/>
    <mergeCell ref="K11:L11"/>
    <mergeCell ref="H15:L15"/>
    <mergeCell ref="B35:H35"/>
    <mergeCell ref="B36:C36"/>
    <mergeCell ref="B16:C16"/>
    <mergeCell ref="D10:F10"/>
    <mergeCell ref="H13:J13"/>
    <mergeCell ref="H11:J11"/>
    <mergeCell ref="H12:J12"/>
    <mergeCell ref="P11:R11"/>
    <mergeCell ref="P12:R12"/>
    <mergeCell ref="K12:L12"/>
    <mergeCell ref="J37:M37"/>
    <mergeCell ref="P13:R13"/>
    <mergeCell ref="L13:N13"/>
    <mergeCell ref="F36:H36"/>
    <mergeCell ref="M12:N12"/>
    <mergeCell ref="B15:F15"/>
    <mergeCell ref="B13:C13"/>
    <mergeCell ref="F17:F18"/>
    <mergeCell ref="D11:F11"/>
    <mergeCell ref="B12:C12"/>
    <mergeCell ref="D12:E12"/>
    <mergeCell ref="J17:J18"/>
    <mergeCell ref="K17:K18"/>
    <mergeCell ref="O31:R31"/>
    <mergeCell ref="L17:L18"/>
    <mergeCell ref="J36:M36"/>
    <mergeCell ref="D16:E16"/>
    <mergeCell ref="H16:I16"/>
    <mergeCell ref="J16:K16"/>
    <mergeCell ref="L58:M58"/>
    <mergeCell ref="P54:Q54"/>
    <mergeCell ref="P55:Q55"/>
    <mergeCell ref="L54:M54"/>
    <mergeCell ref="L55:M55"/>
    <mergeCell ref="L56:M56"/>
    <mergeCell ref="H61:M65"/>
    <mergeCell ref="P56:Q56"/>
    <mergeCell ref="P57:Q57"/>
    <mergeCell ref="Q59:R59"/>
    <mergeCell ref="J41:M41"/>
    <mergeCell ref="O30:R30"/>
    <mergeCell ref="P50:Q50"/>
    <mergeCell ref="P51:Q51"/>
    <mergeCell ref="P52:Q52"/>
    <mergeCell ref="P53:Q53"/>
    <mergeCell ref="P48:Q48"/>
    <mergeCell ref="P49:Q49"/>
    <mergeCell ref="P42:Q42"/>
    <mergeCell ref="P43:Q43"/>
    <mergeCell ref="O44:R44"/>
    <mergeCell ref="P38:Q38"/>
    <mergeCell ref="P39:Q39"/>
    <mergeCell ref="P40:Q40"/>
    <mergeCell ref="P41:Q41"/>
    <mergeCell ref="P46:Q46"/>
    <mergeCell ref="P32:Q32"/>
    <mergeCell ref="L48:M48"/>
    <mergeCell ref="L49:M49"/>
    <mergeCell ref="P33:Q33"/>
    <mergeCell ref="P34:Q34"/>
    <mergeCell ref="P35:Q35"/>
    <mergeCell ref="P36:Q36"/>
    <mergeCell ref="P37:Q37"/>
  </mergeCells>
  <phoneticPr fontId="20" type="noConversion"/>
  <conditionalFormatting sqref="C48:C51">
    <cfRule type="expression" dxfId="154" priority="0" stopIfTrue="1">
      <formula>IF(B48&lt;&gt;"",TRUE,FALSE)</formula>
    </cfRule>
  </conditionalFormatting>
  <conditionalFormatting sqref="F14:G14">
    <cfRule type="cellIs" dxfId="153" priority="10" stopIfTrue="1" operator="notEqual">
      <formula>""</formula>
    </cfRule>
  </conditionalFormatting>
  <conditionalFormatting sqref="D11:F11">
    <cfRule type="expression" dxfId="152" priority="6" stopIfTrue="1">
      <formula>IF(AND(c.species=0,s.species&lt;&gt;0),TRUE,FALSE)</formula>
    </cfRule>
    <cfRule type="expression" dxfId="151" priority="11" stopIfTrue="1">
      <formula>IF(AND(c.species&lt;&gt;0,v.style.species&lt;&gt;1),TRUE,FALSE)</formula>
    </cfRule>
  </conditionalFormatting>
  <conditionalFormatting sqref="D12:E12">
    <cfRule type="expression" dxfId="150" priority="12" stopIfTrue="1">
      <formula>IF(AND(c.sanding&lt;&gt;0,AND(c.species&lt;&gt;0,v.sanding.species=0)),TRUE,FALSE)</formula>
    </cfRule>
  </conditionalFormatting>
  <conditionalFormatting sqref="D13:E13">
    <cfRule type="expression" dxfId="149" priority="5" stopIfTrue="1">
      <formula>IF(AND(c.finish=0,s.finish&lt;&gt;0),TRUE,FALSE)</formula>
    </cfRule>
    <cfRule type="expression" dxfId="148" priority="13" stopIfTrue="1">
      <formula>IF(AND(c.finish&lt;&gt;0,AND(c.species&lt;&gt;0,v.finish.species=0)),TRUE,FALSE)</formula>
    </cfRule>
  </conditionalFormatting>
  <conditionalFormatting sqref="K11:L11">
    <cfRule type="expression" dxfId="147" priority="7" stopIfTrue="1">
      <formula>IF(AND(c.panel=0,s.panel&lt;&gt;0),TRUE,FALSE)</formula>
    </cfRule>
    <cfRule type="expression" dxfId="146" priority="14">
      <formula>IF(AND(c.panel&lt;&gt;0,OR(v.style.panel=0,v.sr.panel=0,v.panel.species=0)),TRUE,FALSE)</formula>
    </cfRule>
  </conditionalFormatting>
  <conditionalFormatting sqref="L13:N13 M12:N12">
    <cfRule type="cellIs" dxfId="145" priority="15" stopIfTrue="1" operator="notEqual">
      <formula>""</formula>
    </cfRule>
  </conditionalFormatting>
  <conditionalFormatting sqref="D16:E16">
    <cfRule type="expression" dxfId="144" priority="16" stopIfTrue="1">
      <formula>IF(AND(c.design.upper&lt;&gt;0,OR(v.style.design.upper=0,v.sr.design.upper=0)),TRUE,FALSE)</formula>
    </cfRule>
    <cfRule type="expression" dxfId="143" priority="17" stopIfTrue="1">
      <formula>AND(c.design.upper=0,SUM($D$19:$D$33)&lt;&gt;0)</formula>
    </cfRule>
  </conditionalFormatting>
  <conditionalFormatting sqref="J16:K16">
    <cfRule type="expression" dxfId="142" priority="18" stopIfTrue="1">
      <formula>IF(AND(c.design.base&lt;&gt;0,OR(v.style.design.base=0,v.sr.design.base=0)),TRUE,FALSE)</formula>
    </cfRule>
    <cfRule type="expression" dxfId="141" priority="19" stopIfTrue="1">
      <formula>AND(c.design.base=0,SUM($J$19:$J$33)&lt;&gt;0)</formula>
    </cfRule>
  </conditionalFormatting>
  <conditionalFormatting sqref="P11:R12">
    <cfRule type="expression" dxfId="140" priority="20" stopIfTrue="1">
      <formula>IF(c.drill=3,TRUE,FALSE)</formula>
    </cfRule>
    <cfRule type="expression" dxfId="139" priority="21" stopIfTrue="1">
      <formula>IF(AND(c.drill&lt;&gt;3,P11&lt;&gt;""),TRUE,FALSE)</formula>
    </cfRule>
  </conditionalFormatting>
  <conditionalFormatting sqref="E22">
    <cfRule type="expression" dxfId="138" priority="22" stopIfTrue="1">
      <formula>IF(INDEX(vt.size.upper,4,1)&lt;0,TRUE,FALSE)</formula>
    </cfRule>
  </conditionalFormatting>
  <conditionalFormatting sqref="E23">
    <cfRule type="expression" dxfId="137" priority="23" stopIfTrue="1">
      <formula>IF(INDEX(vt.size.upper,5,1)&lt;0,TRUE,FALSE)</formula>
    </cfRule>
  </conditionalFormatting>
  <conditionalFormatting sqref="E24">
    <cfRule type="expression" dxfId="136" priority="24" stopIfTrue="1">
      <formula>IF(INDEX(vt.size.upper,6,1)&lt;0,TRUE,FALSE)</formula>
    </cfRule>
  </conditionalFormatting>
  <conditionalFormatting sqref="E25">
    <cfRule type="expression" dxfId="135" priority="25" stopIfTrue="1">
      <formula>IF(INDEX(vt.size.upper,7,1)&lt;0,TRUE,FALSE)</formula>
    </cfRule>
  </conditionalFormatting>
  <conditionalFormatting sqref="E26">
    <cfRule type="expression" dxfId="134" priority="26" stopIfTrue="1">
      <formula>IF(INDEX(vt.size.upper,8,1)&lt;0,TRUE,FALSE)</formula>
    </cfRule>
  </conditionalFormatting>
  <conditionalFormatting sqref="E27">
    <cfRule type="expression" dxfId="133" priority="27" stopIfTrue="1">
      <formula>IF(INDEX(vt.size.upper,9,1)&lt;0,TRUE,FALSE)</formula>
    </cfRule>
  </conditionalFormatting>
  <conditionalFormatting sqref="E28">
    <cfRule type="expression" dxfId="132" priority="28" stopIfTrue="1">
      <formula>IF(INDEX(vt.size.upper,10,1)&lt;0,TRUE,FALSE)</formula>
    </cfRule>
  </conditionalFormatting>
  <conditionalFormatting sqref="E29">
    <cfRule type="expression" dxfId="131" priority="29" stopIfTrue="1">
      <formula>IF(INDEX(vt.size.upper,11,1)&lt;0,TRUE,FALSE)</formula>
    </cfRule>
  </conditionalFormatting>
  <conditionalFormatting sqref="E30">
    <cfRule type="expression" dxfId="130" priority="30" stopIfTrue="1">
      <formula>IF(INDEX(vt.size.upper,12,1)&lt;0,TRUE,FALSE)</formula>
    </cfRule>
  </conditionalFormatting>
  <conditionalFormatting sqref="E31">
    <cfRule type="expression" dxfId="129" priority="31" stopIfTrue="1">
      <formula>IF(INDEX(vt.size.upper,13,1)&lt;0,TRUE,FALSE)</formula>
    </cfRule>
  </conditionalFormatting>
  <conditionalFormatting sqref="E32">
    <cfRule type="expression" dxfId="128" priority="32" stopIfTrue="1">
      <formula>IF(INDEX(vt.size.upper,14,1)&lt;0,TRUE,FALSE)</formula>
    </cfRule>
  </conditionalFormatting>
  <conditionalFormatting sqref="F25">
    <cfRule type="expression" dxfId="127" priority="33" stopIfTrue="1">
      <formula>IF(INDEX(vt.size.upper,7,2)&lt;0,TRUE,FALSE)</formula>
    </cfRule>
  </conditionalFormatting>
  <conditionalFormatting sqref="F26">
    <cfRule type="expression" dxfId="126" priority="34" stopIfTrue="1">
      <formula>IF(INDEX(vt.size.upper,8,2)&lt;0,TRUE,FALSE)</formula>
    </cfRule>
  </conditionalFormatting>
  <conditionalFormatting sqref="F27">
    <cfRule type="expression" dxfId="125" priority="35" stopIfTrue="1">
      <formula>IF(INDEX(vt.size.upper,9,2)&lt;0,TRUE,FALSE)</formula>
    </cfRule>
  </conditionalFormatting>
  <conditionalFormatting sqref="F28">
    <cfRule type="expression" dxfId="124" priority="36" stopIfTrue="1">
      <formula>IF(INDEX(vt.size.upper,10,2)&lt;0,TRUE,FALSE)</formula>
    </cfRule>
  </conditionalFormatting>
  <conditionalFormatting sqref="F29">
    <cfRule type="expression" dxfId="123" priority="37" stopIfTrue="1">
      <formula>IF(INDEX(vt.size.upper,11,2)&lt;0,TRUE,FALSE)</formula>
    </cfRule>
  </conditionalFormatting>
  <conditionalFormatting sqref="F30">
    <cfRule type="expression" dxfId="122" priority="38" stopIfTrue="1">
      <formula>IF(INDEX(vt.size.upper,12,2)&lt;0,TRUE,FALSE)</formula>
    </cfRule>
  </conditionalFormatting>
  <conditionalFormatting sqref="F31">
    <cfRule type="expression" dxfId="121" priority="39" stopIfTrue="1">
      <formula>IF(INDEX(vt.size.upper,13,2)&lt;0,TRUE,FALSE)</formula>
    </cfRule>
  </conditionalFormatting>
  <conditionalFormatting sqref="F32">
    <cfRule type="expression" dxfId="120" priority="40" stopIfTrue="1">
      <formula>IF(INDEX(vt.size.upper,14,2)&lt;0,TRUE,FALSE)</formula>
    </cfRule>
  </conditionalFormatting>
  <conditionalFormatting sqref="K21">
    <cfRule type="expression" dxfId="119" priority="41" stopIfTrue="1">
      <formula>IF(INDEX(vt.size.base,3,1)&lt;0,TRUE,FALSE)</formula>
    </cfRule>
  </conditionalFormatting>
  <conditionalFormatting sqref="K22">
    <cfRule type="expression" dxfId="118" priority="42" stopIfTrue="1">
      <formula>IF(INDEX(vt.size.base,4,1)&lt;0,TRUE,FALSE)</formula>
    </cfRule>
  </conditionalFormatting>
  <conditionalFormatting sqref="K23">
    <cfRule type="expression" dxfId="117" priority="43" stopIfTrue="1">
      <formula>IF(INDEX(vt.size.base,5,1)&lt;0,TRUE,FALSE)</formula>
    </cfRule>
  </conditionalFormatting>
  <conditionalFormatting sqref="K24">
    <cfRule type="expression" dxfId="116" priority="44" stopIfTrue="1">
      <formula>IF(INDEX(vt.size.base,6,1)&lt;0,TRUE,FALSE)</formula>
    </cfRule>
  </conditionalFormatting>
  <conditionalFormatting sqref="K25">
    <cfRule type="expression" dxfId="115" priority="45" stopIfTrue="1">
      <formula>IF(INDEX(vt.size.base,7,1)&lt;0,TRUE,FALSE)</formula>
    </cfRule>
  </conditionalFormatting>
  <conditionalFormatting sqref="K26">
    <cfRule type="expression" dxfId="114" priority="46" stopIfTrue="1">
      <formula>IF(INDEX(vt.size.base,8,1)&lt;0,TRUE,FALSE)</formula>
    </cfRule>
  </conditionalFormatting>
  <conditionalFormatting sqref="K27">
    <cfRule type="expression" dxfId="113" priority="47" stopIfTrue="1">
      <formula>IF(INDEX(vt.size.base,9,1)&lt;0,TRUE,FALSE)</formula>
    </cfRule>
  </conditionalFormatting>
  <conditionalFormatting sqref="K28">
    <cfRule type="expression" dxfId="112" priority="48" stopIfTrue="1">
      <formula>IF(INDEX(vt.size.base,10,1)&lt;0,TRUE,FALSE)</formula>
    </cfRule>
  </conditionalFormatting>
  <conditionalFormatting sqref="K29">
    <cfRule type="expression" dxfId="111" priority="49" stopIfTrue="1">
      <formula>IF(INDEX(vt.size.base,11,1)&lt;0,TRUE,FALSE)</formula>
    </cfRule>
  </conditionalFormatting>
  <conditionalFormatting sqref="K30">
    <cfRule type="expression" dxfId="110" priority="50" stopIfTrue="1">
      <formula>IF(INDEX(vt.size.base,12,1)&lt;0,TRUE,FALSE)</formula>
    </cfRule>
  </conditionalFormatting>
  <conditionalFormatting sqref="K31">
    <cfRule type="expression" dxfId="109" priority="51" stopIfTrue="1">
      <formula>IF(INDEX(vt.size.base,13,1)&lt;0,TRUE,FALSE)</formula>
    </cfRule>
  </conditionalFormatting>
  <conditionalFormatting sqref="K32">
    <cfRule type="expression" dxfId="108" priority="52" stopIfTrue="1">
      <formula>IF(INDEX(vt.size.base,14,1)&lt;0,TRUE,FALSE)</formula>
    </cfRule>
  </conditionalFormatting>
  <conditionalFormatting sqref="L21">
    <cfRule type="expression" dxfId="107" priority="53" stopIfTrue="1">
      <formula>IF(INDEX(vt.size.base,3,2)&lt;0,TRUE,FALSE)</formula>
    </cfRule>
  </conditionalFormatting>
  <conditionalFormatting sqref="L22">
    <cfRule type="expression" dxfId="106" priority="54" stopIfTrue="1">
      <formula>IF(INDEX(vt.size.base,4,2)&lt;0,TRUE,FALSE)</formula>
    </cfRule>
  </conditionalFormatting>
  <conditionalFormatting sqref="L23">
    <cfRule type="expression" dxfId="105" priority="55" stopIfTrue="1">
      <formula>IF(INDEX(vt.size.base,5,2)&lt;0,TRUE,FALSE)</formula>
    </cfRule>
  </conditionalFormatting>
  <conditionalFormatting sqref="L24">
    <cfRule type="expression" dxfId="104" priority="56" stopIfTrue="1">
      <formula>IF(INDEX(vt.size.base,6,2)&lt;0,TRUE,FALSE)</formula>
    </cfRule>
  </conditionalFormatting>
  <conditionalFormatting sqref="L25">
    <cfRule type="expression" dxfId="103" priority="57" stopIfTrue="1">
      <formula>IF(INDEX(vt.size.base,7,2)&lt;0,TRUE,FALSE)</formula>
    </cfRule>
  </conditionalFormatting>
  <conditionalFormatting sqref="L26">
    <cfRule type="expression" dxfId="102" priority="58" stopIfTrue="1">
      <formula>IF(INDEX(vt.size.base,8,2)&lt;0,TRUE,FALSE)</formula>
    </cfRule>
  </conditionalFormatting>
  <conditionalFormatting sqref="L27">
    <cfRule type="expression" dxfId="101" priority="59" stopIfTrue="1">
      <formula>IF(INDEX(vt.size.base,9,2)&lt;0,TRUE,FALSE)</formula>
    </cfRule>
  </conditionalFormatting>
  <conditionalFormatting sqref="L28">
    <cfRule type="expression" dxfId="100" priority="60" stopIfTrue="1">
      <formula>IF(INDEX(vt.size.base,10,2)&lt;0,TRUE,FALSE)</formula>
    </cfRule>
  </conditionalFormatting>
  <conditionalFormatting sqref="L29">
    <cfRule type="expression" dxfId="99" priority="61" stopIfTrue="1">
      <formula>IF(INDEX(vt.size.base,11,2)&lt;0,TRUE,FALSE)</formula>
    </cfRule>
  </conditionalFormatting>
  <conditionalFormatting sqref="L30">
    <cfRule type="expression" dxfId="98" priority="62" stopIfTrue="1">
      <formula>IF(INDEX(vt.size.base,12,2)&lt;0,TRUE,FALSE)</formula>
    </cfRule>
  </conditionalFormatting>
  <conditionalFormatting sqref="L31">
    <cfRule type="expression" dxfId="97" priority="63" stopIfTrue="1">
      <formula>IF(INDEX(vt.size.base,13,2)&lt;0,TRUE,FALSE)</formula>
    </cfRule>
  </conditionalFormatting>
  <conditionalFormatting sqref="L32">
    <cfRule type="expression" dxfId="96" priority="64" stopIfTrue="1">
      <formula>IF(INDEX(vt.size.base,14,2)&lt;0,TRUE,FALSE)</formula>
    </cfRule>
  </conditionalFormatting>
  <conditionalFormatting sqref="P20:Q20">
    <cfRule type="expression" dxfId="95" priority="65" stopIfTrue="1">
      <formula>IF(INDEX(vt.size.df,2,1)&lt;0,TRUE,FALSE)</formula>
    </cfRule>
  </conditionalFormatting>
  <conditionalFormatting sqref="P21:Q21">
    <cfRule type="expression" dxfId="94" priority="66" stopIfTrue="1">
      <formula>IF(INDEX(vt.size.df,3,1)&lt;0,TRUE,FALSE)</formula>
    </cfRule>
  </conditionalFormatting>
  <conditionalFormatting sqref="P22:Q22">
    <cfRule type="expression" dxfId="93" priority="67" stopIfTrue="1">
      <formula>IF(INDEX(vt.size.df,4,1)&lt;0,TRUE,FALSE)</formula>
    </cfRule>
  </conditionalFormatting>
  <conditionalFormatting sqref="P23:Q23">
    <cfRule type="expression" dxfId="92" priority="68" stopIfTrue="1">
      <formula>IF(INDEX(vt.size.df,5,1)&lt;0,TRUE,FALSE)</formula>
    </cfRule>
  </conditionalFormatting>
  <conditionalFormatting sqref="P24:Q24">
    <cfRule type="expression" dxfId="91" priority="69" stopIfTrue="1">
      <formula>IF(INDEX(vt.size.df,6,1)&lt;0,TRUE,FALSE)</formula>
    </cfRule>
  </conditionalFormatting>
  <conditionalFormatting sqref="P25:Q25">
    <cfRule type="expression" dxfId="90" priority="70" stopIfTrue="1">
      <formula>IF(INDEX(vt.size.df,7,1)&lt;0,TRUE,FALSE)</formula>
    </cfRule>
  </conditionalFormatting>
  <conditionalFormatting sqref="P26:Q26">
    <cfRule type="expression" dxfId="89" priority="71" stopIfTrue="1">
      <formula>IF(INDEX(vt.size.df,8,1)&lt;0,TRUE,FALSE)</formula>
    </cfRule>
  </conditionalFormatting>
  <conditionalFormatting sqref="P27:Q27">
    <cfRule type="expression" dxfId="88" priority="72" stopIfTrue="1">
      <formula>IF(INDEX(vt.size.df,9,1)&lt;0,TRUE,FALSE)</formula>
    </cfRule>
  </conditionalFormatting>
  <conditionalFormatting sqref="P28:Q28">
    <cfRule type="expression" dxfId="87" priority="73" stopIfTrue="1">
      <formula>IF(INDEX(vt.size.df,10,1)&lt;0,TRUE,FALSE)</formula>
    </cfRule>
  </conditionalFormatting>
  <conditionalFormatting sqref="R19">
    <cfRule type="expression" dxfId="86" priority="74" stopIfTrue="1">
      <formula>IF(INDEX(vt.size.df,1,2)&lt;0,TRUE,FALSE)</formula>
    </cfRule>
  </conditionalFormatting>
  <conditionalFormatting sqref="R20">
    <cfRule type="expression" dxfId="85" priority="75" stopIfTrue="1">
      <formula>IF(INDEX(vt.size.df,2,2)&lt;0,TRUE,FALSE)</formula>
    </cfRule>
  </conditionalFormatting>
  <conditionalFormatting sqref="R21">
    <cfRule type="expression" dxfId="84" priority="76" stopIfTrue="1">
      <formula>IF(INDEX(vt.size.df,3,2)&lt;0,TRUE,FALSE)</formula>
    </cfRule>
  </conditionalFormatting>
  <conditionalFormatting sqref="R22">
    <cfRule type="expression" dxfId="83" priority="77" stopIfTrue="1">
      <formula>IF(INDEX(vt.size.df,4,2)&lt;0,TRUE,FALSE)</formula>
    </cfRule>
  </conditionalFormatting>
  <conditionalFormatting sqref="R23">
    <cfRule type="expression" dxfId="82" priority="78" stopIfTrue="1">
      <formula>IF(INDEX(vt.size.df,5,2)&lt;0,TRUE,FALSE)</formula>
    </cfRule>
  </conditionalFormatting>
  <conditionalFormatting sqref="R24">
    <cfRule type="expression" dxfId="81" priority="79" stopIfTrue="1">
      <formula>IF(INDEX(vt.size.df,6,2)&lt;0,TRUE,FALSE)</formula>
    </cfRule>
  </conditionalFormatting>
  <conditionalFormatting sqref="R25">
    <cfRule type="expression" dxfId="80" priority="80" stopIfTrue="1">
      <formula>IF(INDEX(vt.size.df,7,2)&lt;0,TRUE,FALSE)</formula>
    </cfRule>
  </conditionalFormatting>
  <conditionalFormatting sqref="R26">
    <cfRule type="expression" dxfId="79" priority="81" stopIfTrue="1">
      <formula>IF(INDEX(vt.size.df,8,2)&lt;0,TRUE,FALSE)</formula>
    </cfRule>
  </conditionalFormatting>
  <conditionalFormatting sqref="R27">
    <cfRule type="expression" dxfId="78" priority="82" stopIfTrue="1">
      <formula>IF(INDEX(vt.size.df,9,2)&lt;0,TRUE,FALSE)</formula>
    </cfRule>
  </conditionalFormatting>
  <conditionalFormatting sqref="R28">
    <cfRule type="expression" dxfId="77" priority="83" stopIfTrue="1">
      <formula>IF(INDEX(vt.size.df,10,2)&lt;0,TRUE,FALSE)</formula>
    </cfRule>
  </conditionalFormatting>
  <conditionalFormatting sqref="P48:Q48">
    <cfRule type="expression" dxfId="76" priority="84" stopIfTrue="1">
      <formula>IF(INDEX(vt.size.pp,2,1)&lt;0,TRUE,FALSE)</formula>
    </cfRule>
  </conditionalFormatting>
  <conditionalFormatting sqref="P49:Q49">
    <cfRule type="expression" dxfId="75" priority="85" stopIfTrue="1">
      <formula>IF(INDEX(vt.size.pp,3,1)&lt;0,TRUE,FALSE)</formula>
    </cfRule>
  </conditionalFormatting>
  <conditionalFormatting sqref="P50:Q50">
    <cfRule type="expression" dxfId="74" priority="86" stopIfTrue="1">
      <formula>IF(INDEX(vt.size.pp,4,1)&lt;0,TRUE,FALSE)</formula>
    </cfRule>
  </conditionalFormatting>
  <conditionalFormatting sqref="P51:Q51">
    <cfRule type="expression" dxfId="73" priority="87" stopIfTrue="1">
      <formula>IF(INDEX(vt.size.pp,5,1)&lt;0,TRUE,FALSE)</formula>
    </cfRule>
  </conditionalFormatting>
  <conditionalFormatting sqref="P52:Q52">
    <cfRule type="expression" dxfId="72" priority="88" stopIfTrue="1">
      <formula>IF(INDEX(vt.size.pp,6,1)&lt;0,TRUE,FALSE)</formula>
    </cfRule>
  </conditionalFormatting>
  <conditionalFormatting sqref="P53:Q53">
    <cfRule type="expression" dxfId="71" priority="89" stopIfTrue="1">
      <formula>IF(INDEX(vt.size.pp,7,1)&lt;0,TRUE,FALSE)</formula>
    </cfRule>
  </conditionalFormatting>
  <conditionalFormatting sqref="P54:Q54">
    <cfRule type="expression" dxfId="70" priority="90" stopIfTrue="1">
      <formula>IF(INDEX(vt.size.pp,8,1)&lt;0,TRUE,FALSE)</formula>
    </cfRule>
  </conditionalFormatting>
  <conditionalFormatting sqref="P55:Q55">
    <cfRule type="expression" dxfId="69" priority="91" stopIfTrue="1">
      <formula>IF(INDEX(vt.size.pp,9,1)&lt;0,TRUE,FALSE)</formula>
    </cfRule>
  </conditionalFormatting>
  <conditionalFormatting sqref="R47">
    <cfRule type="expression" dxfId="68" priority="92" stopIfTrue="1">
      <formula>IF(INDEX(vt.size.pp,1,2)&lt;0,TRUE,FALSE)</formula>
    </cfRule>
  </conditionalFormatting>
  <conditionalFormatting sqref="R48">
    <cfRule type="expression" dxfId="67" priority="93" stopIfTrue="1">
      <formula>IF(INDEX(vt.size.pp,2,2)&lt;0,TRUE,FALSE)</formula>
    </cfRule>
  </conditionalFormatting>
  <conditionalFormatting sqref="R49">
    <cfRule type="expression" dxfId="66" priority="94" stopIfTrue="1">
      <formula>IF(INDEX(vt.size.pp,3,2)&lt;0,TRUE,FALSE)</formula>
    </cfRule>
  </conditionalFormatting>
  <conditionalFormatting sqref="R50">
    <cfRule type="expression" dxfId="65" priority="95" stopIfTrue="1">
      <formula>IF(INDEX(vt.size.pp,4,2)&lt;0,TRUE,FALSE)</formula>
    </cfRule>
  </conditionalFormatting>
  <conditionalFormatting sqref="R51">
    <cfRule type="expression" dxfId="64" priority="96" stopIfTrue="1">
      <formula>IF(INDEX(vt.size.pp,5,2)&lt;0,TRUE,FALSE)</formula>
    </cfRule>
  </conditionalFormatting>
  <conditionalFormatting sqref="R52">
    <cfRule type="expression" dxfId="63" priority="97" stopIfTrue="1">
      <formula>IF(INDEX(vt.size.pp,6,2)&lt;0,TRUE,FALSE)</formula>
    </cfRule>
  </conditionalFormatting>
  <conditionalFormatting sqref="R53">
    <cfRule type="expression" dxfId="62" priority="98" stopIfTrue="1">
      <formula>IF(INDEX(vt.size.pp,7,2)&lt;0,TRUE,FALSE)</formula>
    </cfRule>
  </conditionalFormatting>
  <conditionalFormatting sqref="R54">
    <cfRule type="expression" dxfId="61" priority="99" stopIfTrue="1">
      <formula>IF(INDEX(vt.size.pp,8,2)&lt;0,TRUE,FALSE)</formula>
    </cfRule>
  </conditionalFormatting>
  <conditionalFormatting sqref="R55">
    <cfRule type="expression" dxfId="60" priority="100" stopIfTrue="1">
      <formula>IF(INDEX(vt.size.pp,9,2)&lt;0,TRUE,FALSE)</formula>
    </cfRule>
  </conditionalFormatting>
  <conditionalFormatting sqref="R56">
    <cfRule type="expression" dxfId="59" priority="101" stopIfTrue="1">
      <formula>IF(INDEX(vt.size.pp,10,2)&lt;0,TRUE,FALSE)</formula>
    </cfRule>
  </conditionalFormatting>
  <conditionalFormatting sqref="E40">
    <cfRule type="expression" dxfId="58" priority="102" stopIfTrue="1">
      <formula>IF(INDEX(vt.size.fm,2,1)&lt;0,TRUE,FALSE)</formula>
    </cfRule>
  </conditionalFormatting>
  <conditionalFormatting sqref="E41">
    <cfRule type="expression" dxfId="57" priority="103" stopIfTrue="1">
      <formula>IF(INDEX(vt.size.fm,3,1)&lt;0,TRUE,FALSE)</formula>
    </cfRule>
  </conditionalFormatting>
  <conditionalFormatting sqref="E42">
    <cfRule type="expression" dxfId="56" priority="104" stopIfTrue="1">
      <formula>IF(INDEX(vt.size.fm,4,1)&lt;0,TRUE,FALSE)</formula>
    </cfRule>
  </conditionalFormatting>
  <conditionalFormatting sqref="E43">
    <cfRule type="expression" dxfId="55" priority="105" stopIfTrue="1">
      <formula>IF(INDEX(vt.size.fm,5,1)&lt;0,TRUE,FALSE)</formula>
    </cfRule>
  </conditionalFormatting>
  <conditionalFormatting sqref="F40">
    <cfRule type="expression" dxfId="54" priority="106" stopIfTrue="1">
      <formula>IF(INDEX(vt.size.fm,2,2)&lt;0,TRUE,FALSE)</formula>
    </cfRule>
  </conditionalFormatting>
  <conditionalFormatting sqref="F41">
    <cfRule type="expression" dxfId="53" priority="107" stopIfTrue="1">
      <formula>IF(INDEX(vt.size.fm,3,2)&lt;0,TRUE,FALSE)</formula>
    </cfRule>
  </conditionalFormatting>
  <conditionalFormatting sqref="F42">
    <cfRule type="expression" dxfId="52" priority="108" stopIfTrue="1">
      <formula>IF(INDEX(vt.size.fm,4,2)&lt;0,TRUE,FALSE)</formula>
    </cfRule>
  </conditionalFormatting>
  <conditionalFormatting sqref="F43">
    <cfRule type="expression" dxfId="51" priority="109" stopIfTrue="1">
      <formula>IF(INDEX(vt.size.fm,5,2)&lt;0,TRUE,FALSE)</formula>
    </cfRule>
  </conditionalFormatting>
  <conditionalFormatting sqref="K12">
    <cfRule type="expression" dxfId="50" priority="110" stopIfTrue="1">
      <formula>IF(AND(c.edge&lt;&gt;0,v.sr.edge=0),TRUE,FALSE)</formula>
    </cfRule>
  </conditionalFormatting>
  <conditionalFormatting sqref="K13">
    <cfRule type="expression" dxfId="49" priority="2" stopIfTrue="1">
      <formula>IF(AND(c.am=0,s.am&lt;&gt;0),TRUE,FALSE)</formula>
    </cfRule>
    <cfRule type="expression" dxfId="48" priority="111" stopIfTrue="1">
      <formula>IF(AND(c.am&lt;&gt;0,v.sr.am=0),TRUE,FALSE)</formula>
    </cfRule>
  </conditionalFormatting>
  <conditionalFormatting sqref="F46">
    <cfRule type="expression" dxfId="47" priority="112" stopIfTrue="1">
      <formula>IF(AND(SUM($B$48:$B$51)&lt;&gt;0,c.species.mldg=0),TRUE,FALSE)</formula>
    </cfRule>
  </conditionalFormatting>
  <conditionalFormatting sqref="L53:M53">
    <cfRule type="expression" dxfId="46" priority="113" stopIfTrue="1">
      <formula>IF(AND(SUM($H$55:$H$59)&lt;&gt;0,c.species.gbls=0),TRUE,FALSE)</formula>
    </cfRule>
  </conditionalFormatting>
  <conditionalFormatting sqref="B39:C44 H19:I33 C19:C33 B20:B33">
    <cfRule type="expression" dxfId="45" priority="114" stopIfTrue="1">
      <formula>IF(AND(c.drill&lt;=1,B19&lt;&gt;0),TRUE,FALSE)</formula>
    </cfRule>
  </conditionalFormatting>
  <conditionalFormatting sqref="K19">
    <cfRule type="expression" dxfId="44" priority="115" stopIfTrue="1">
      <formula>IF(INDEX(vt.size.base,1,1)&lt;0,TRUE,FALSE)</formula>
    </cfRule>
  </conditionalFormatting>
  <conditionalFormatting sqref="E20">
    <cfRule type="expression" dxfId="43" priority="116" stopIfTrue="1">
      <formula>IF(INDEX(vt.size.upper,2,1)&lt;0,TRUE,FALSE)</formula>
    </cfRule>
  </conditionalFormatting>
  <conditionalFormatting sqref="F20">
    <cfRule type="expression" dxfId="42" priority="117" stopIfTrue="1">
      <formula>IF(INDEX(vt.size.upper,2,2)&lt;0,TRUE,FALSE)</formula>
    </cfRule>
  </conditionalFormatting>
  <conditionalFormatting sqref="E21">
    <cfRule type="expression" dxfId="41" priority="118" stopIfTrue="1">
      <formula>IF(INDEX(vt.size.upper,3,1)&lt;0,TRUE,FALSE)</formula>
    </cfRule>
  </conditionalFormatting>
  <conditionalFormatting sqref="K20">
    <cfRule type="expression" dxfId="40" priority="119" stopIfTrue="1">
      <formula>IF(INDEX(vt.size.base,2,1)&lt;0,TRUE,FALSE)</formula>
    </cfRule>
  </conditionalFormatting>
  <conditionalFormatting sqref="K33">
    <cfRule type="expression" dxfId="39" priority="120" stopIfTrue="1">
      <formula>IF(INDEX(vt.size.base,15,1)&lt;0,TRUE,FALSE)</formula>
    </cfRule>
  </conditionalFormatting>
  <conditionalFormatting sqref="L19">
    <cfRule type="expression" dxfId="38" priority="121" stopIfTrue="1">
      <formula>IF(INDEX(vt.size.base,1,2)&lt;0,TRUE,FALSE)</formula>
    </cfRule>
  </conditionalFormatting>
  <conditionalFormatting sqref="L20">
    <cfRule type="expression" dxfId="37" priority="122" stopIfTrue="1">
      <formula>IF(INDEX(vt.size.base,2,2)&lt;0,TRUE,FALSE)</formula>
    </cfRule>
  </conditionalFormatting>
  <conditionalFormatting sqref="L33">
    <cfRule type="expression" dxfId="36" priority="123" stopIfTrue="1">
      <formula>IF(INDEX(vt.size.base,15,2)&lt;0,TRUE,FALSE)</formula>
    </cfRule>
  </conditionalFormatting>
  <conditionalFormatting sqref="E33">
    <cfRule type="expression" dxfId="35" priority="124" stopIfTrue="1">
      <formula>IF(INDEX(vt.size.upper,15,1)&lt;0,TRUE,FALSE)</formula>
    </cfRule>
  </conditionalFormatting>
  <conditionalFormatting sqref="F21">
    <cfRule type="expression" dxfId="34" priority="125" stopIfTrue="1">
      <formula>IF(INDEX(vt.size.upper,3,2)&lt;0,TRUE,FALSE)</formula>
    </cfRule>
  </conditionalFormatting>
  <conditionalFormatting sqref="F22">
    <cfRule type="expression" dxfId="33" priority="126" stopIfTrue="1">
      <formula>IF(INDEX(vt.size.upper,4,2)&lt;0,TRUE,FALSE)</formula>
    </cfRule>
  </conditionalFormatting>
  <conditionalFormatting sqref="F23">
    <cfRule type="expression" dxfId="32" priority="127" stopIfTrue="1">
      <formula>IF(INDEX(vt.size.upper,5,2)&lt;0,TRUE,FALSE)</formula>
    </cfRule>
  </conditionalFormatting>
  <conditionalFormatting sqref="F24">
    <cfRule type="expression" dxfId="31" priority="128" stopIfTrue="1">
      <formula>IF(INDEX(vt.size.upper,6,2)&lt;0,TRUE,FALSE)</formula>
    </cfRule>
  </conditionalFormatting>
  <conditionalFormatting sqref="F33">
    <cfRule type="expression" dxfId="30" priority="129" stopIfTrue="1">
      <formula>IF(INDEX(vt.size.upper,15,2)&lt;0,TRUE,FALSE)</formula>
    </cfRule>
  </conditionalFormatting>
  <conditionalFormatting sqref="E39">
    <cfRule type="expression" dxfId="29" priority="130" stopIfTrue="1">
      <formula>IF(INDEX(vt.size.fm,1,1)&lt;0,TRUE,FALSE)</formula>
    </cfRule>
  </conditionalFormatting>
  <conditionalFormatting sqref="F39">
    <cfRule type="expression" dxfId="28" priority="131" stopIfTrue="1">
      <formula>IF(INDEX(vt.size.fm,1,2)&lt;0,TRUE,FALSE)</formula>
    </cfRule>
  </conditionalFormatting>
  <conditionalFormatting sqref="E44">
    <cfRule type="expression" dxfId="27" priority="132" stopIfTrue="1">
      <formula>IF(INDEX(vt.size.fm,6,1)&lt;0,TRUE,FALSE)</formula>
    </cfRule>
  </conditionalFormatting>
  <conditionalFormatting sqref="F44">
    <cfRule type="expression" dxfId="26" priority="133" stopIfTrue="1">
      <formula>IF(INDEX(vt.size.fm,6,2)&lt;0,TRUE,FALSE)</formula>
    </cfRule>
  </conditionalFormatting>
  <conditionalFormatting sqref="J20:J33 D20:D33 D40:D43">
    <cfRule type="expression" dxfId="25" priority="134" stopIfTrue="1">
      <formula>IF(AND(D20=0,OR(E20&lt;&gt;0,F20&lt;&gt;0)),TRUE,FALSE)</formula>
    </cfRule>
  </conditionalFormatting>
  <conditionalFormatting sqref="B19">
    <cfRule type="expression" dxfId="24" priority="135" stopIfTrue="1">
      <formula>IF(AND(c.drill&lt;=1,B19&lt;&gt;0),TRUE,FALSE)</formula>
    </cfRule>
  </conditionalFormatting>
  <conditionalFormatting sqref="D19">
    <cfRule type="expression" dxfId="23" priority="136" stopIfTrue="1">
      <formula>IF(AND(D19=0,OR(E19&lt;&gt;0,F19&lt;&gt;0)),TRUE,FALSE)</formula>
    </cfRule>
  </conditionalFormatting>
  <conditionalFormatting sqref="E19">
    <cfRule type="expression" dxfId="22" priority="137" stopIfTrue="1">
      <formula>IF(INDEX(vt.size.upper,1,1)&lt;0,TRUE,FALSE)</formula>
    </cfRule>
  </conditionalFormatting>
  <conditionalFormatting sqref="F19">
    <cfRule type="expression" dxfId="21" priority="138" stopIfTrue="1">
      <formula>IF(INDEX(vt.size.upper,1,2)&lt;0,TRUE,FALSE)</formula>
    </cfRule>
  </conditionalFormatting>
  <conditionalFormatting sqref="J19 O19:O28 O33:O42 D39 D44">
    <cfRule type="expression" dxfId="20" priority="139" stopIfTrue="1">
      <formula>IF(AND(D19=0,OR(E19&lt;&gt;0,F19&lt;&gt;0)),TRUE,FALSE)</formula>
    </cfRule>
  </conditionalFormatting>
  <conditionalFormatting sqref="P19:Q19">
    <cfRule type="expression" dxfId="19" priority="140" stopIfTrue="1">
      <formula>IF(INDEX(vt.size.df,1,1)&lt;0,TRUE,FALSE)</formula>
    </cfRule>
  </conditionalFormatting>
  <conditionalFormatting sqref="P33:Q42 I48:J50 I55:J59">
    <cfRule type="expression" dxfId="18" priority="141" stopIfTrue="1">
      <formula>IF(AND(H33&lt;&gt;0,I33=0),TRUE,FALSE)</formula>
    </cfRule>
  </conditionalFormatting>
  <conditionalFormatting sqref="R33:R42">
    <cfRule type="expression" dxfId="17" priority="142" stopIfTrue="1">
      <formula>IF(AND(O33&lt;&gt;0,R33=0),TRUE,FALSE)</formula>
    </cfRule>
  </conditionalFormatting>
  <conditionalFormatting sqref="P47:Q47">
    <cfRule type="expression" dxfId="16" priority="143" stopIfTrue="1">
      <formula>IF(INDEX(vt.size.pp,1,1)&lt;0,TRUE,FALSE)</formula>
    </cfRule>
  </conditionalFormatting>
  <conditionalFormatting sqref="O47:O56 H48:H50 H55:H59">
    <cfRule type="expression" dxfId="15" priority="144" stopIfTrue="1">
      <formula>IF(AND(H47=0,OR(I47&lt;&gt;0,K47&lt;&gt;0)),TRUE,FALSE)</formula>
    </cfRule>
  </conditionalFormatting>
  <conditionalFormatting sqref="P56:Q56">
    <cfRule type="expression" dxfId="14" priority="145" stopIfTrue="1">
      <formula>IF(INDEX(vt.size.pp,10,1)&lt;0,TRUE,FALSE)</formula>
    </cfRule>
  </conditionalFormatting>
  <conditionalFormatting sqref="K48:K50 K55:K59">
    <cfRule type="expression" dxfId="13" priority="146" stopIfTrue="1">
      <formula>IF(AND(H48&lt;&gt;0,K48=0),TRUE,flase)</formula>
    </cfRule>
  </conditionalFormatting>
  <conditionalFormatting sqref="L48:M50">
    <cfRule type="expression" dxfId="12" priority="147" stopIfTrue="1">
      <formula>IF(H48&lt;&gt;0,TRUE,FALSE)</formula>
    </cfRule>
  </conditionalFormatting>
  <conditionalFormatting sqref="G39:H44">
    <cfRule type="expression" dxfId="11" priority="148" stopIfTrue="1">
      <formula>IF(INDEX(vt.sr.lites,c.stile,VLOOKUP(G39,t.lites,2,FALSE))&lt;&gt;1,TRUE,FALSE)</formula>
    </cfRule>
    <cfRule type="expression" dxfId="10" priority="149" stopIfTrue="1">
      <formula>IF(D39&lt;&gt;"",TRUE,FALSE)</formula>
    </cfRule>
  </conditionalFormatting>
  <conditionalFormatting sqref="F53">
    <cfRule type="expression" dxfId="9" priority="150" stopIfTrue="1">
      <formula>IF(AND($B$55+$B$56&lt;&gt;0,c.species.shts=0),TRUE,FALSE)</formula>
    </cfRule>
  </conditionalFormatting>
  <conditionalFormatting sqref="K10:L10">
    <cfRule type="expression" dxfId="8" priority="4" stopIfTrue="1">
      <formula>IF(AND(c.stile=0,s.stile&lt;&gt;0),TRUE,FALSE)</formula>
    </cfRule>
    <cfRule type="expression" dxfId="7" priority="8">
      <formula>IF(AND(c.stile&lt;&gt;0,v.style.sr=0),TRUE,FALSE)</formula>
    </cfRule>
    <cfRule type="expression" dxfId="6" priority="9">
      <formula>IF(AND(c.stile&lt;&gt;0,v.sr.species=0),TRUE,FALSE)</formula>
    </cfRule>
  </conditionalFormatting>
  <conditionalFormatting sqref="R45">
    <cfRule type="expression" dxfId="5" priority="152" stopIfTrue="1">
      <formula>IF(AND(c.rail&lt;10,c.pp.std&lt;&gt;c.pp.opt),TRUE,FALSE)</formula>
    </cfRule>
    <cfRule type="expression" dxfId="4" priority="153" stopIfTrue="1">
      <formula>IF(AND(c.style&gt;=5,v.stile.mitre.pp=0),TRUE,FALSE)</formula>
    </cfRule>
  </conditionalFormatting>
  <conditionalFormatting sqref="R16">
    <cfRule type="expression" dxfId="3" priority="154" stopIfTrue="1">
      <formula>IF(AND(c.rail&lt;10,c.df.std&lt;&gt;c.df.opt),TRUE,FALSE)</formula>
    </cfRule>
    <cfRule type="expression" dxfId="2" priority="155" stopIfTrue="1">
      <formula>IF(AND(c.style&gt;=5,v.stile.mitre.df5=0),TRUE,FALSE)</formula>
    </cfRule>
  </conditionalFormatting>
  <conditionalFormatting sqref="K12:L12">
    <cfRule type="expression" dxfId="1" priority="3">
      <formula>IF(AND(c.edge=0,s.edge&lt;&gt;0),TRUE,FALSE)</formula>
    </cfRule>
  </conditionalFormatting>
  <conditionalFormatting sqref="C48:F48">
    <cfRule type="expression" dxfId="0" priority="1">
      <formula>IF(AND(c.mldg1=0,s.mldg1&lt;&gt;0),TRUE,FALSE)</formula>
    </cfRule>
  </conditionalFormatting>
  <dataValidations count="18">
    <dataValidation type="list" allowBlank="1" showInputMessage="1" showErrorMessage="1" sqref="D11:F11">
      <formula1>IF(c.style&lt;5,l.species.all,l.species.mitred)</formula1>
    </dataValidation>
    <dataValidation type="list" showInputMessage="1" showErrorMessage="1" sqref="D10:F10">
      <formula1>l.style</formula1>
    </dataValidation>
    <dataValidation type="list" allowBlank="1" showInputMessage="1" showErrorMessage="1" sqref="K10:L10">
      <formula1>IF(c.style&lt;3,l.stile.ps,IF(c.style=3,l.stile.shkr,IF(c.style=4,l.stile.shkrV,l.stile.mitred)))</formula1>
    </dataValidation>
    <dataValidation type="list" allowBlank="1" showInputMessage="1" showErrorMessage="1" sqref="K11:L11">
      <formula1>IF(OR(c.style=2,c.style=6),l.panel.s,IF(OR(c.style=3,c.style=4),l.panel.shkr,l.panel.p))</formula1>
    </dataValidation>
    <dataValidation type="list" allowBlank="1" showInputMessage="1" showErrorMessage="1" sqref="K13">
      <formula1>IF(c.style&lt;4,l.am,l.am.na)</formula1>
    </dataValidation>
    <dataValidation type="list" allowBlank="1" showInputMessage="1" showErrorMessage="1" sqref="D13:E13">
      <formula1>l.finish</formula1>
    </dataValidation>
    <dataValidation type="list" showInputMessage="1" showErrorMessage="1" sqref="D16:E16">
      <formula1>IF(c.style&lt;3,l.design.ps,IF(c.style=3,l.design.shkr,IF(c.style=4,l.design.shkrV,l.design.mitre)))</formula1>
    </dataValidation>
    <dataValidation type="list" showInputMessage="1" showErrorMessage="1" sqref="J16:K16">
      <formula1>IF(c.style&lt;3,l.design.ps,IF(c.style=3,l.design.shkr,IF(c.style=4,l.design.shkrV,l.design.mitre)))</formula1>
    </dataValidation>
    <dataValidation type="list" showInputMessage="1" showErrorMessage="1" sqref="Q10:R10">
      <formula1>l.drill</formula1>
    </dataValidation>
    <dataValidation type="list" showInputMessage="1" showErrorMessage="1" sqref="F46 F53 L53">
      <formula1>l.mspecies</formula1>
    </dataValidation>
    <dataValidation type="list" allowBlank="1" showInputMessage="1" showErrorMessage="1" sqref="G39:H44">
      <formula1>IF(c.stile&lt;21,l.lites.all,IF(c.stile&lt;23,l.lites.8,l.lites.1))</formula1>
    </dataValidation>
    <dataValidation type="list" showInputMessage="1" showErrorMessage="1" sqref="L48:L50">
      <formula1>l.valance</formula1>
    </dataValidation>
    <dataValidation type="date" operator="greaterThan" allowBlank="1" showInputMessage="1" showErrorMessage="1" sqref="Q8:R8 E5:F5">
      <formula1>40848</formula1>
    </dataValidation>
    <dataValidation type="list" showInputMessage="1" showErrorMessage="1" sqref="D12:E12">
      <formula1>l.sanding</formula1>
    </dataValidation>
    <dataValidation type="list" allowBlank="1" showInputMessage="1" showErrorMessage="1" sqref="K12:L12">
      <formula1>l.edge</formula1>
    </dataValidation>
    <dataValidation type="list" showInputMessage="1" showErrorMessage="1" sqref="R16">
      <formula1>IF(c.rail&lt;10,s.df.std,l.df.opt)</formula1>
    </dataValidation>
    <dataValidation type="list" showInputMessage="1" showErrorMessage="1" sqref="R45">
      <formula1>IF(c.rail&lt;10,s.pp.std,l.pp.opt)</formula1>
    </dataValidation>
    <dataValidation type="list" showInputMessage="1" showErrorMessage="1" sqref="C48:F48 C49:F49 C50:F50 C51:F51">
      <formula1>l.mouldings</formula1>
    </dataValidation>
  </dataValidations>
  <pageMargins left="0.5868503937007874" right="0.39000000000000007" top="0.39000000000000007" bottom="0.39000000000000007" header="0" footer="0"/>
  <pageSetup scale="57"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BH44"/>
  <sheetViews>
    <sheetView showRuler="0" topLeftCell="C16" workbookViewId="0">
      <selection activeCell="L36" sqref="L36"/>
    </sheetView>
  </sheetViews>
  <sheetFormatPr baseColWidth="10" defaultColWidth="11.5" defaultRowHeight="13" x14ac:dyDescent="0.15"/>
  <cols>
    <col min="1" max="1" width="16.5" customWidth="1"/>
    <col min="2" max="2" width="13.33203125" customWidth="1"/>
    <col min="3" max="3" width="7.83203125" customWidth="1"/>
    <col min="4" max="4" width="2" customWidth="1"/>
    <col min="5" max="5" width="27.33203125" customWidth="1"/>
    <col min="6" max="6" width="4" customWidth="1"/>
    <col min="7" max="7" width="2.5" customWidth="1"/>
    <col min="8" max="8" width="1.83203125" customWidth="1"/>
    <col min="9" max="9" width="14.33203125" customWidth="1"/>
    <col min="10" max="10" width="3.83203125" customWidth="1"/>
    <col min="11" max="11" width="2" customWidth="1"/>
    <col min="12" max="12" width="25.6640625" customWidth="1"/>
    <col min="13" max="13" width="4.1640625" customWidth="1"/>
    <col min="14" max="14" width="3" customWidth="1"/>
    <col min="15" max="15" width="10.5" style="214" customWidth="1"/>
    <col min="16" max="16" width="3.1640625" style="214" customWidth="1"/>
    <col min="17" max="17" width="11.6640625" style="214" customWidth="1"/>
    <col min="18" max="18" width="3.1640625" style="214" customWidth="1"/>
    <col min="19" max="19" width="1.6640625" customWidth="1"/>
    <col min="20" max="20" width="13.5" customWidth="1"/>
    <col min="21" max="21" width="3.83203125" customWidth="1"/>
    <col min="22" max="22" width="2" customWidth="1"/>
    <col min="23" max="23" width="15.33203125" customWidth="1"/>
    <col min="24" max="24" width="3.83203125" customWidth="1"/>
    <col min="25" max="25" width="2.33203125" customWidth="1"/>
    <col min="27" max="27" width="3.6640625" customWidth="1"/>
    <col min="28" max="28" width="2.33203125" customWidth="1"/>
    <col min="29" max="29" width="11.6640625" customWidth="1"/>
    <col min="30" max="30" width="4.5" customWidth="1"/>
    <col min="31" max="31" width="3.6640625" style="214" customWidth="1"/>
    <col min="32" max="32" width="2.33203125" style="214" customWidth="1"/>
    <col min="33" max="33" width="13.33203125" style="214" customWidth="1"/>
    <col min="34" max="35" width="4.5" style="214" customWidth="1"/>
    <col min="36" max="36" width="2" customWidth="1"/>
    <col min="38" max="38" width="2.1640625" customWidth="1"/>
    <col min="39" max="39" width="3.1640625" customWidth="1"/>
    <col min="40" max="40" width="2.6640625" customWidth="1"/>
    <col min="41" max="41" width="13.33203125" customWidth="1"/>
    <col min="42" max="42" width="3" customWidth="1"/>
    <col min="43" max="44" width="2.6640625" customWidth="1"/>
    <col min="45" max="45" width="18" customWidth="1"/>
    <col min="46" max="46" width="2.5" customWidth="1"/>
    <col min="47" max="47" width="2" customWidth="1"/>
    <col min="49" max="49" width="3.1640625" customWidth="1"/>
    <col min="50" max="50" width="2.5" customWidth="1"/>
    <col min="51" max="51" width="21.5" customWidth="1"/>
    <col min="52" max="52" width="2.5" customWidth="1"/>
    <col min="53" max="53" width="2.83203125" customWidth="1"/>
    <col min="55" max="55" width="3.83203125" customWidth="1"/>
    <col min="56" max="56" width="3.6640625" customWidth="1"/>
    <col min="57" max="57" width="3.5" customWidth="1"/>
    <col min="58" max="58" width="2.5" customWidth="1"/>
    <col min="59" max="59" width="11.6640625" customWidth="1"/>
    <col min="60" max="60" width="3.33203125" customWidth="1"/>
  </cols>
  <sheetData>
    <row r="1" spans="1:60" ht="53" customHeight="1" x14ac:dyDescent="0.15">
      <c r="A1" s="477" t="s">
        <v>153</v>
      </c>
      <c r="B1" s="477"/>
      <c r="C1" s="477"/>
      <c r="D1" s="477"/>
      <c r="E1" s="477"/>
      <c r="F1" s="168"/>
      <c r="G1" s="476" t="s">
        <v>430</v>
      </c>
      <c r="H1" s="476"/>
      <c r="I1" s="476"/>
      <c r="J1" s="476"/>
      <c r="K1" s="476"/>
      <c r="L1" s="476"/>
      <c r="M1" s="476"/>
      <c r="N1" s="476"/>
      <c r="O1" s="476"/>
      <c r="P1" s="476"/>
      <c r="Q1" s="476"/>
      <c r="R1" s="476"/>
      <c r="S1" s="477"/>
      <c r="T1" s="477"/>
      <c r="U1" s="477"/>
      <c r="V1" s="477"/>
      <c r="W1" s="477"/>
      <c r="X1" s="478"/>
    </row>
    <row r="2" spans="1:60" ht="6" customHeight="1" x14ac:dyDescent="0.15">
      <c r="A2" s="89"/>
    </row>
    <row r="3" spans="1:60" x14ac:dyDescent="0.15">
      <c r="A3" t="s">
        <v>271</v>
      </c>
      <c r="B3" t="s">
        <v>272</v>
      </c>
      <c r="E3" t="s">
        <v>457</v>
      </c>
      <c r="I3" t="s">
        <v>151</v>
      </c>
      <c r="L3" t="s">
        <v>299</v>
      </c>
      <c r="O3" s="214" t="s">
        <v>605</v>
      </c>
      <c r="Q3" s="214" t="s">
        <v>606</v>
      </c>
      <c r="T3" t="s">
        <v>205</v>
      </c>
      <c r="W3" t="s">
        <v>208</v>
      </c>
      <c r="Z3" t="s">
        <v>391</v>
      </c>
      <c r="AC3" s="214" t="s">
        <v>607</v>
      </c>
      <c r="AG3" s="214" t="s">
        <v>608</v>
      </c>
      <c r="AK3" t="s">
        <v>227</v>
      </c>
      <c r="AO3" t="s">
        <v>414</v>
      </c>
      <c r="AS3" t="s">
        <v>407</v>
      </c>
      <c r="AV3" t="s">
        <v>395</v>
      </c>
      <c r="AY3" t="s">
        <v>82</v>
      </c>
      <c r="BB3" t="s">
        <v>399</v>
      </c>
      <c r="BC3" t="s">
        <v>130</v>
      </c>
      <c r="BD3" t="s">
        <v>112</v>
      </c>
      <c r="BE3" t="s">
        <v>113</v>
      </c>
      <c r="BG3" t="s">
        <v>289</v>
      </c>
    </row>
    <row r="4" spans="1:60" s="90" customFormat="1" x14ac:dyDescent="0.15">
      <c r="A4" s="90" t="s">
        <v>101</v>
      </c>
      <c r="B4" s="156">
        <f>'ORDER FORM'!D10</f>
        <v>0</v>
      </c>
      <c r="C4" s="90">
        <f>IF(ISNA(VLOOKUP(s.style,t.style,2,FALSE)),0,VLOOKUP(s.style,t.style,2,FALSE))</f>
        <v>0</v>
      </c>
      <c r="E4" s="90">
        <f>'ORDER FORM'!D11</f>
        <v>0</v>
      </c>
      <c r="F4" s="90">
        <f>IF(ISNA(VLOOKUP(s.species,t.species,2,FALSE)),0,VLOOKUP(s.species,t.species,2,FALSE))</f>
        <v>0</v>
      </c>
      <c r="G4" s="90">
        <f>IF(ISNA(VLOOKUP(s.species,t.species,3,FALSE)),0,VLOOKUP(s.species,t.species,3,FALSE))</f>
        <v>0</v>
      </c>
      <c r="I4" s="90">
        <f>'ORDER FORM'!D16</f>
        <v>0</v>
      </c>
      <c r="J4" s="90">
        <f>IF(ISNA(VLOOKUP(s.design.upper,t.design,2,FALSE)),0,VLOOKUP(s.design.upper,t.design,2,FALSE))</f>
        <v>0</v>
      </c>
      <c r="L4" s="90">
        <f>'ORDER FORM'!K10</f>
        <v>0</v>
      </c>
      <c r="M4" s="90">
        <f>IF(ISNA(VLOOKUP(s.stile,t.stile.all,2,FALSE)),0,VLOOKUP(s.stile,t.stile.all,2,FALSE))</f>
        <v>0</v>
      </c>
      <c r="N4" s="90">
        <f>IF(ISNA(VLOOKUP(s.stile,t.stile.all,3,FALSE)),0,VLOOKUP(s.stile,t.stile.all,3,FALSE))</f>
        <v>0</v>
      </c>
      <c r="O4" s="90">
        <f>IF(ISNA(VLOOKUP(s.stile,t.stile.all,4,FALSE)),0,VLOOKUP(s.stile,t.stile.all,4,FALSE))</f>
        <v>0</v>
      </c>
      <c r="P4" s="90">
        <f>IF(ISNA(VLOOKUP(s.stile,t.stile.all,5,FALSE)),0,VLOOKUP(s.stile,t.stile.all,5,FALSE))</f>
        <v>0</v>
      </c>
      <c r="Q4" s="90">
        <f>IF(ISNA(VLOOKUP(s.stile,t.stile.all,6,FALSE)),0,VLOOKUP(s.stile,t.stile.all,6,FALSE))</f>
        <v>0</v>
      </c>
      <c r="R4" s="90">
        <f>IF(ISNA(VLOOKUP(s.stile,t.stile.all,7,FALSE)),0,VLOOKUP(s.stile,t.stile.all,7,FALSE))</f>
        <v>0</v>
      </c>
      <c r="T4" s="90">
        <f>'ORDER FORM'!K11</f>
        <v>0</v>
      </c>
      <c r="U4" s="90">
        <f>IF(ISNA(VLOOKUP(s.panel,T5:U27,2,FALSE)),0,VLOOKUP(s.panel,T5:U27,2,FALSE))</f>
        <v>0</v>
      </c>
      <c r="W4" s="90">
        <f>'ORDER FORM'!K12</f>
        <v>0</v>
      </c>
      <c r="X4" s="90">
        <f>IF(ISNA(VLOOKUP(s.edge,t.edge.all,2,FALSE)),0,VLOOKUP(s.edge,t.edge.all,2,FALSE))</f>
        <v>0</v>
      </c>
      <c r="Z4" s="90">
        <f>'ORDER FORM'!K13</f>
        <v>0</v>
      </c>
      <c r="AA4" s="90">
        <f>IF(ISNA(VLOOKUP(s.am,t.am,2,FALSE)),0,VLOOKUP(s.am,t.am,2,FALSE))</f>
        <v>0</v>
      </c>
      <c r="AC4" s="90">
        <f>'ORDER FORM'!R16</f>
        <v>0</v>
      </c>
      <c r="AD4" s="90">
        <f>IF(ISNA(VLOOKUP(s.df.opt,t.df.opt,2,FALSE)),0,VLOOKUP(s.df.opt,t.df.opt,2,FALSE))</f>
        <v>0</v>
      </c>
      <c r="AE4" s="90">
        <f>IF(ISNA(VLOOKUP(s.df.opt,t.df.opt,3,FALSE)),0,VLOOKUP(s.df.opt,t.df.opt,3,FALSE))</f>
        <v>0</v>
      </c>
      <c r="AG4" s="90">
        <f>'ORDER FORM'!R45</f>
        <v>0</v>
      </c>
      <c r="AH4" s="90">
        <f>IF(ISNA(VLOOKUP(s.pp.opt,t.pp.opt,2,FALSE)),0,VLOOKUP(s.pp.opt,t.pp.opt,2,FALSE))</f>
        <v>0</v>
      </c>
      <c r="AI4" s="90">
        <f>IF(ISNA(VLOOKUP(s.pp.opt,t.pp.opt,3,FALSE)),0,VLOOKUP(s.pp.opt,t.pp.opt,3,FALSE))</f>
        <v>0</v>
      </c>
      <c r="AO4" s="90">
        <f>'ORDER FORM'!Q10</f>
        <v>0</v>
      </c>
      <c r="AP4" s="90" t="e">
        <f>VLOOKUP(s.drill,t.drill,2,FALSE)</f>
        <v>#N/A</v>
      </c>
      <c r="AS4" s="90" t="str">
        <f>'ORDER FORM'!D12</f>
        <v>Standard sanding</v>
      </c>
      <c r="AT4" s="90">
        <f>IF(ISNA(VLOOKUP(s.sanding,t.sanding,2,FALSE)),0,VLOOKUP(s.sanding,t.sanding,2,FALSE))</f>
        <v>1</v>
      </c>
      <c r="AW4" s="90">
        <v>0</v>
      </c>
      <c r="AZ4" s="90">
        <v>0</v>
      </c>
      <c r="BC4" s="90">
        <f>IF(ISNA(VLOOKUP('ORDER FORM'!F46,t.mspecies,2,FALSE)),0,VLOOKUP('ORDER FORM'!F46,t.mspecies,2,FALSE))</f>
        <v>0</v>
      </c>
      <c r="BD4" s="90">
        <f>IF(ISNA(VLOOKUP('ORDER FORM'!F53,t.mspecies,2,FALSE)),0,VLOOKUP('ORDER FORM'!F53,t.mspecies,2,FALSE))</f>
        <v>0</v>
      </c>
      <c r="BE4" s="90">
        <f>IF(ISNA(VLOOKUP('ORDER FORM'!L53,t.mspecies,2,FALSE)),0,VLOOKUP('ORDER FORM'!L53,t.mspecies,2,FALSE))</f>
        <v>0</v>
      </c>
      <c r="BG4" s="90" t="str">
        <f>'ORDER FORM'!D13</f>
        <v>Unfinished</v>
      </c>
      <c r="BH4" s="90">
        <f>IF(ISNA(VLOOKUP(s.finish,t.finish,2,FALSE)),0,VLOOKUP(s.finish,t.finish,2,FALSE))</f>
        <v>1</v>
      </c>
    </row>
    <row r="5" spans="1:60" x14ac:dyDescent="0.15">
      <c r="B5" s="155"/>
      <c r="C5">
        <v>0</v>
      </c>
      <c r="F5">
        <v>0</v>
      </c>
      <c r="G5">
        <v>0</v>
      </c>
      <c r="I5" s="90">
        <f>'ORDER FORM'!J16</f>
        <v>0</v>
      </c>
      <c r="J5" s="90">
        <f>IF(ISNA(VLOOKUP(s.design.base,t.design,2,FALSE)),0,VLOOKUP(s.design.base,t.design,2,FALSE))</f>
        <v>0</v>
      </c>
      <c r="M5">
        <v>0</v>
      </c>
      <c r="P5" s="214">
        <v>0</v>
      </c>
      <c r="R5" s="214">
        <v>0</v>
      </c>
      <c r="U5">
        <v>0</v>
      </c>
      <c r="X5">
        <v>0</v>
      </c>
      <c r="AA5">
        <v>0</v>
      </c>
      <c r="AC5" s="222"/>
      <c r="AD5">
        <v>0</v>
      </c>
      <c r="AF5"/>
      <c r="AG5"/>
      <c r="AH5">
        <v>0</v>
      </c>
      <c r="AL5">
        <v>0</v>
      </c>
      <c r="AM5">
        <v>0</v>
      </c>
      <c r="AP5">
        <v>0</v>
      </c>
      <c r="AT5">
        <v>0</v>
      </c>
      <c r="AV5" t="s">
        <v>396</v>
      </c>
      <c r="AW5">
        <v>1</v>
      </c>
      <c r="AZ5">
        <v>0</v>
      </c>
      <c r="BC5">
        <v>0</v>
      </c>
      <c r="BH5">
        <v>0</v>
      </c>
    </row>
    <row r="6" spans="1:60" x14ac:dyDescent="0.15">
      <c r="B6" s="155" t="s">
        <v>453</v>
      </c>
      <c r="C6">
        <v>1</v>
      </c>
      <c r="E6" t="s">
        <v>553</v>
      </c>
      <c r="F6">
        <v>1</v>
      </c>
      <c r="G6">
        <v>0</v>
      </c>
      <c r="J6">
        <v>0</v>
      </c>
      <c r="L6" t="s">
        <v>446</v>
      </c>
      <c r="M6">
        <v>1</v>
      </c>
      <c r="N6">
        <v>1</v>
      </c>
      <c r="O6" s="214" t="s">
        <v>107</v>
      </c>
      <c r="P6" s="214">
        <v>-1</v>
      </c>
      <c r="Q6" s="214" t="s">
        <v>110</v>
      </c>
      <c r="R6" s="214">
        <v>-1</v>
      </c>
      <c r="T6" t="s">
        <v>155</v>
      </c>
      <c r="U6">
        <v>1</v>
      </c>
      <c r="W6" t="s">
        <v>262</v>
      </c>
      <c r="X6">
        <v>1</v>
      </c>
      <c r="Z6" t="s">
        <v>223</v>
      </c>
      <c r="AA6">
        <v>1</v>
      </c>
      <c r="AC6" t="s">
        <v>157</v>
      </c>
      <c r="AD6">
        <v>23</v>
      </c>
      <c r="AE6" s="214">
        <v>1</v>
      </c>
      <c r="AG6" s="214" t="s">
        <v>202</v>
      </c>
      <c r="AH6" s="214">
        <v>21</v>
      </c>
      <c r="AI6" s="214">
        <v>3</v>
      </c>
      <c r="AK6" t="s">
        <v>129</v>
      </c>
      <c r="AL6">
        <v>1</v>
      </c>
      <c r="AM6">
        <v>0</v>
      </c>
      <c r="AO6" t="s">
        <v>554</v>
      </c>
      <c r="AP6">
        <v>1</v>
      </c>
      <c r="AS6" t="s">
        <v>408</v>
      </c>
      <c r="AT6">
        <v>1</v>
      </c>
      <c r="AV6" t="s">
        <v>397</v>
      </c>
      <c r="AW6">
        <v>2</v>
      </c>
      <c r="AY6" t="s">
        <v>83</v>
      </c>
      <c r="AZ6">
        <v>1</v>
      </c>
      <c r="BB6" t="s">
        <v>79</v>
      </c>
      <c r="BC6">
        <v>1</v>
      </c>
      <c r="BG6" t="s">
        <v>290</v>
      </c>
      <c r="BH6">
        <v>1</v>
      </c>
    </row>
    <row r="7" spans="1:60" x14ac:dyDescent="0.15">
      <c r="B7" s="155" t="s">
        <v>454</v>
      </c>
      <c r="C7">
        <v>2</v>
      </c>
      <c r="E7" t="s">
        <v>568</v>
      </c>
      <c r="F7">
        <v>2</v>
      </c>
      <c r="G7">
        <v>1</v>
      </c>
      <c r="I7" t="s">
        <v>269</v>
      </c>
      <c r="J7">
        <v>1</v>
      </c>
      <c r="L7" t="s">
        <v>447</v>
      </c>
      <c r="M7">
        <v>4</v>
      </c>
      <c r="N7">
        <v>3</v>
      </c>
      <c r="O7" s="214" t="s">
        <v>107</v>
      </c>
      <c r="P7" s="214">
        <v>-1</v>
      </c>
      <c r="Q7" s="214" t="s">
        <v>110</v>
      </c>
      <c r="R7" s="214">
        <v>-1</v>
      </c>
      <c r="U7">
        <v>0</v>
      </c>
      <c r="W7" t="s">
        <v>263</v>
      </c>
      <c r="X7">
        <v>2</v>
      </c>
      <c r="Z7" t="s">
        <v>224</v>
      </c>
      <c r="AA7">
        <v>2</v>
      </c>
      <c r="AC7" t="s">
        <v>158</v>
      </c>
      <c r="AD7">
        <v>26</v>
      </c>
      <c r="AE7" s="214">
        <v>1</v>
      </c>
      <c r="AG7" s="214" t="s">
        <v>203</v>
      </c>
      <c r="AH7" s="214">
        <v>24</v>
      </c>
      <c r="AI7" s="214">
        <v>3</v>
      </c>
      <c r="AK7" t="s">
        <v>228</v>
      </c>
      <c r="AL7">
        <v>2</v>
      </c>
      <c r="AM7">
        <v>4</v>
      </c>
      <c r="AO7" t="s">
        <v>442</v>
      </c>
      <c r="AP7">
        <v>2</v>
      </c>
      <c r="AS7" t="s">
        <v>409</v>
      </c>
      <c r="AT7">
        <v>2</v>
      </c>
      <c r="AV7" t="s">
        <v>398</v>
      </c>
      <c r="AW7">
        <v>3</v>
      </c>
      <c r="AY7" t="s">
        <v>237</v>
      </c>
      <c r="AZ7">
        <v>2</v>
      </c>
      <c r="BB7" t="s">
        <v>80</v>
      </c>
      <c r="BC7">
        <v>3</v>
      </c>
      <c r="BG7" t="s">
        <v>291</v>
      </c>
      <c r="BH7">
        <v>2</v>
      </c>
    </row>
    <row r="8" spans="1:60" x14ac:dyDescent="0.15">
      <c r="B8" s="155" t="s">
        <v>502</v>
      </c>
      <c r="C8">
        <v>3</v>
      </c>
      <c r="E8" t="s">
        <v>376</v>
      </c>
      <c r="F8">
        <v>3</v>
      </c>
      <c r="G8">
        <v>0</v>
      </c>
      <c r="I8" t="s">
        <v>270</v>
      </c>
      <c r="J8">
        <v>2</v>
      </c>
      <c r="L8" t="s">
        <v>445</v>
      </c>
      <c r="M8">
        <v>9</v>
      </c>
      <c r="N8">
        <v>1</v>
      </c>
      <c r="O8" s="214" t="s">
        <v>107</v>
      </c>
      <c r="P8" s="214">
        <v>-1</v>
      </c>
      <c r="Q8" s="214" t="s">
        <v>110</v>
      </c>
      <c r="R8" s="214">
        <v>-1</v>
      </c>
      <c r="U8">
        <v>0</v>
      </c>
      <c r="W8" t="s">
        <v>264</v>
      </c>
      <c r="X8">
        <v>3</v>
      </c>
      <c r="Z8" t="s">
        <v>225</v>
      </c>
      <c r="AA8">
        <v>3</v>
      </c>
      <c r="AC8" t="s">
        <v>159</v>
      </c>
      <c r="AD8">
        <v>29</v>
      </c>
      <c r="AE8" s="214">
        <v>1</v>
      </c>
      <c r="AG8" s="214" t="s">
        <v>75</v>
      </c>
      <c r="AH8" s="214">
        <v>27</v>
      </c>
      <c r="AI8" s="214">
        <v>3</v>
      </c>
      <c r="AK8" t="s">
        <v>229</v>
      </c>
      <c r="AL8">
        <v>3</v>
      </c>
      <c r="AM8">
        <v>6</v>
      </c>
      <c r="AO8" t="s">
        <v>610</v>
      </c>
      <c r="AP8">
        <v>3</v>
      </c>
      <c r="AY8" t="s">
        <v>232</v>
      </c>
      <c r="AZ8">
        <v>3</v>
      </c>
      <c r="BB8" t="s">
        <v>81</v>
      </c>
      <c r="BC8">
        <v>5</v>
      </c>
      <c r="BG8" t="s">
        <v>570</v>
      </c>
      <c r="BH8">
        <v>3</v>
      </c>
    </row>
    <row r="9" spans="1:60" x14ac:dyDescent="0.15">
      <c r="B9" s="155" t="s">
        <v>501</v>
      </c>
      <c r="C9">
        <v>4</v>
      </c>
      <c r="E9" t="s">
        <v>377</v>
      </c>
      <c r="F9">
        <v>4</v>
      </c>
      <c r="G9">
        <v>1</v>
      </c>
      <c r="I9" t="s">
        <v>295</v>
      </c>
      <c r="J9">
        <v>3</v>
      </c>
      <c r="L9" t="s">
        <v>90</v>
      </c>
      <c r="M9">
        <v>10</v>
      </c>
      <c r="N9">
        <v>5</v>
      </c>
      <c r="O9" s="214" t="s">
        <v>107</v>
      </c>
      <c r="P9" s="214">
        <v>-1</v>
      </c>
      <c r="Q9" s="214" t="s">
        <v>110</v>
      </c>
      <c r="R9" s="214">
        <v>-1</v>
      </c>
      <c r="U9">
        <v>0</v>
      </c>
      <c r="W9" t="s">
        <v>97</v>
      </c>
      <c r="X9">
        <v>4</v>
      </c>
      <c r="Z9" t="s">
        <v>226</v>
      </c>
      <c r="AA9">
        <v>4</v>
      </c>
      <c r="AC9" t="s">
        <v>0</v>
      </c>
      <c r="AD9">
        <v>22</v>
      </c>
      <c r="AE9" s="214">
        <v>2</v>
      </c>
      <c r="AG9" s="214" t="s">
        <v>0</v>
      </c>
      <c r="AH9" s="214">
        <v>22</v>
      </c>
      <c r="AI9" s="214">
        <v>2</v>
      </c>
      <c r="AK9" t="s">
        <v>230</v>
      </c>
      <c r="AL9">
        <v>4</v>
      </c>
      <c r="AM9">
        <v>8</v>
      </c>
      <c r="AY9" t="s">
        <v>233</v>
      </c>
      <c r="AZ9">
        <v>4</v>
      </c>
      <c r="BG9" t="s">
        <v>571</v>
      </c>
      <c r="BH9">
        <v>4</v>
      </c>
    </row>
    <row r="10" spans="1:60" x14ac:dyDescent="0.15">
      <c r="B10" s="155" t="s">
        <v>455</v>
      </c>
      <c r="C10">
        <v>5</v>
      </c>
      <c r="E10" t="s">
        <v>378</v>
      </c>
      <c r="F10">
        <v>5</v>
      </c>
      <c r="G10">
        <v>0</v>
      </c>
      <c r="I10" t="s">
        <v>296</v>
      </c>
      <c r="J10">
        <v>4</v>
      </c>
      <c r="L10" t="s">
        <v>88</v>
      </c>
      <c r="M10">
        <v>11</v>
      </c>
      <c r="N10">
        <v>1</v>
      </c>
      <c r="O10" s="214" t="s">
        <v>107</v>
      </c>
      <c r="P10" s="214">
        <v>-1</v>
      </c>
      <c r="Q10" s="214" t="s">
        <v>110</v>
      </c>
      <c r="R10" s="214">
        <v>-1</v>
      </c>
      <c r="T10" t="s">
        <v>132</v>
      </c>
      <c r="U10">
        <v>2</v>
      </c>
      <c r="W10" t="s">
        <v>98</v>
      </c>
      <c r="X10">
        <v>5</v>
      </c>
      <c r="AC10" t="s">
        <v>468</v>
      </c>
      <c r="AD10">
        <v>25</v>
      </c>
      <c r="AE10" s="214">
        <v>2</v>
      </c>
      <c r="AG10" s="214" t="s">
        <v>468</v>
      </c>
      <c r="AH10" s="214">
        <v>25</v>
      </c>
      <c r="AI10" s="214">
        <v>2</v>
      </c>
      <c r="AK10" t="s">
        <v>231</v>
      </c>
      <c r="AL10">
        <v>5</v>
      </c>
      <c r="AM10">
        <v>9</v>
      </c>
      <c r="AY10" t="s">
        <v>349</v>
      </c>
      <c r="AZ10">
        <v>5</v>
      </c>
      <c r="BG10" t="s">
        <v>114</v>
      </c>
      <c r="BH10">
        <v>5</v>
      </c>
    </row>
    <row r="11" spans="1:60" x14ac:dyDescent="0.15">
      <c r="B11" s="155" t="s">
        <v>456</v>
      </c>
      <c r="C11">
        <v>6</v>
      </c>
      <c r="E11" t="s">
        <v>379</v>
      </c>
      <c r="F11">
        <v>6</v>
      </c>
      <c r="G11">
        <v>1</v>
      </c>
      <c r="I11" t="s">
        <v>297</v>
      </c>
      <c r="J11">
        <v>5</v>
      </c>
      <c r="L11" t="s">
        <v>89</v>
      </c>
      <c r="M11">
        <v>12</v>
      </c>
      <c r="N11">
        <v>3</v>
      </c>
      <c r="O11" s="214" t="s">
        <v>107</v>
      </c>
      <c r="P11" s="214">
        <v>-1</v>
      </c>
      <c r="Q11" s="214" t="s">
        <v>110</v>
      </c>
      <c r="R11" s="214">
        <v>-1</v>
      </c>
      <c r="T11" t="s">
        <v>133</v>
      </c>
      <c r="U11">
        <v>3</v>
      </c>
      <c r="W11" t="s">
        <v>99</v>
      </c>
      <c r="X11">
        <v>6</v>
      </c>
      <c r="AC11" t="s">
        <v>469</v>
      </c>
      <c r="AD11">
        <v>28</v>
      </c>
      <c r="AE11" s="214">
        <v>2</v>
      </c>
      <c r="AG11" s="214" t="s">
        <v>469</v>
      </c>
      <c r="AH11" s="214">
        <v>28</v>
      </c>
      <c r="AI11" s="214">
        <v>2</v>
      </c>
      <c r="AY11" t="s">
        <v>234</v>
      </c>
      <c r="AZ11">
        <v>6</v>
      </c>
      <c r="BG11" t="s">
        <v>572</v>
      </c>
      <c r="BH11">
        <v>6</v>
      </c>
    </row>
    <row r="12" spans="1:60" x14ac:dyDescent="0.15">
      <c r="E12" t="s">
        <v>380</v>
      </c>
      <c r="F12">
        <v>7</v>
      </c>
      <c r="G12">
        <v>0</v>
      </c>
      <c r="I12" t="s">
        <v>298</v>
      </c>
      <c r="J12">
        <v>6</v>
      </c>
      <c r="L12" t="s">
        <v>91</v>
      </c>
      <c r="M12">
        <v>13</v>
      </c>
      <c r="N12">
        <v>1</v>
      </c>
      <c r="O12" s="214" t="s">
        <v>107</v>
      </c>
      <c r="P12" s="214">
        <v>-1</v>
      </c>
      <c r="Q12" s="214" t="s">
        <v>110</v>
      </c>
      <c r="R12" s="214">
        <v>-1</v>
      </c>
      <c r="T12" t="s">
        <v>134</v>
      </c>
      <c r="U12">
        <v>4</v>
      </c>
      <c r="W12" t="s">
        <v>265</v>
      </c>
      <c r="X12">
        <v>7</v>
      </c>
      <c r="AC12" s="222" t="s">
        <v>67</v>
      </c>
      <c r="AD12">
        <v>31</v>
      </c>
      <c r="AE12" s="214">
        <v>2</v>
      </c>
      <c r="AG12" s="222" t="s">
        <v>204</v>
      </c>
      <c r="AH12" s="222">
        <v>30</v>
      </c>
      <c r="AI12" s="214">
        <v>3</v>
      </c>
      <c r="AY12" t="s">
        <v>394</v>
      </c>
      <c r="AZ12">
        <v>7</v>
      </c>
      <c r="BG12" t="s">
        <v>573</v>
      </c>
      <c r="BH12">
        <v>7</v>
      </c>
    </row>
    <row r="13" spans="1:60" x14ac:dyDescent="0.15">
      <c r="A13" t="s">
        <v>109</v>
      </c>
      <c r="E13" t="s">
        <v>544</v>
      </c>
      <c r="F13">
        <v>8</v>
      </c>
      <c r="G13">
        <v>0</v>
      </c>
      <c r="I13" t="s">
        <v>501</v>
      </c>
      <c r="J13">
        <v>7</v>
      </c>
      <c r="L13" t="s">
        <v>92</v>
      </c>
      <c r="M13">
        <v>14</v>
      </c>
      <c r="N13">
        <v>3</v>
      </c>
      <c r="O13" s="214" t="s">
        <v>107</v>
      </c>
      <c r="P13" s="214">
        <v>-1</v>
      </c>
      <c r="Q13" s="214" t="s">
        <v>110</v>
      </c>
      <c r="R13" s="214">
        <v>-1</v>
      </c>
      <c r="T13" t="s">
        <v>470</v>
      </c>
      <c r="U13">
        <v>5</v>
      </c>
      <c r="W13" t="s">
        <v>266</v>
      </c>
      <c r="X13">
        <v>8</v>
      </c>
      <c r="AC13" s="222" t="s">
        <v>591</v>
      </c>
      <c r="AD13" s="222">
        <v>33</v>
      </c>
      <c r="AE13" s="214">
        <v>2</v>
      </c>
      <c r="AG13" s="222" t="s">
        <v>590</v>
      </c>
      <c r="AH13" s="222">
        <v>32</v>
      </c>
      <c r="AI13" s="214">
        <v>3</v>
      </c>
    </row>
    <row r="14" spans="1:60" x14ac:dyDescent="0.15">
      <c r="A14" t="s">
        <v>107</v>
      </c>
      <c r="E14" t="s">
        <v>545</v>
      </c>
      <c r="F14">
        <v>9</v>
      </c>
      <c r="G14">
        <v>1</v>
      </c>
      <c r="L14" t="s">
        <v>93</v>
      </c>
      <c r="M14">
        <v>15</v>
      </c>
      <c r="N14">
        <v>2</v>
      </c>
      <c r="O14" s="214" t="s">
        <v>107</v>
      </c>
      <c r="P14" s="214">
        <v>-1</v>
      </c>
      <c r="Q14" s="214" t="s">
        <v>110</v>
      </c>
      <c r="R14" s="214">
        <v>-1</v>
      </c>
      <c r="T14" t="s">
        <v>135</v>
      </c>
      <c r="U14">
        <v>6</v>
      </c>
      <c r="W14" t="s">
        <v>363</v>
      </c>
      <c r="X14">
        <v>9</v>
      </c>
      <c r="AC14" s="214" t="s">
        <v>531</v>
      </c>
      <c r="AD14">
        <v>-1</v>
      </c>
      <c r="AG14" s="222" t="s">
        <v>67</v>
      </c>
      <c r="AH14" s="222">
        <v>31</v>
      </c>
      <c r="AI14" s="222">
        <v>2</v>
      </c>
    </row>
    <row r="15" spans="1:60" x14ac:dyDescent="0.15">
      <c r="A15" t="s">
        <v>108</v>
      </c>
      <c r="E15" t="s">
        <v>577</v>
      </c>
      <c r="F15">
        <v>10</v>
      </c>
      <c r="G15">
        <v>0</v>
      </c>
      <c r="L15" t="s">
        <v>94</v>
      </c>
      <c r="M15">
        <v>17</v>
      </c>
      <c r="N15">
        <v>4</v>
      </c>
      <c r="O15" s="214" t="s">
        <v>107</v>
      </c>
      <c r="P15" s="214">
        <v>-1</v>
      </c>
      <c r="Q15" s="214" t="s">
        <v>110</v>
      </c>
      <c r="R15" s="214">
        <v>-1</v>
      </c>
      <c r="T15" t="s">
        <v>471</v>
      </c>
      <c r="U15">
        <v>7</v>
      </c>
      <c r="W15" t="s">
        <v>267</v>
      </c>
      <c r="X15">
        <v>10</v>
      </c>
      <c r="AG15" s="222" t="s">
        <v>591</v>
      </c>
      <c r="AH15" s="222">
        <v>33</v>
      </c>
      <c r="AI15" s="222">
        <v>2</v>
      </c>
    </row>
    <row r="16" spans="1:60" x14ac:dyDescent="0.15">
      <c r="E16" t="s">
        <v>458</v>
      </c>
      <c r="F16">
        <v>11</v>
      </c>
      <c r="G16">
        <v>0</v>
      </c>
      <c r="M16">
        <v>0</v>
      </c>
      <c r="P16" s="214">
        <v>0</v>
      </c>
      <c r="R16" s="214">
        <v>0</v>
      </c>
      <c r="T16" t="s">
        <v>472</v>
      </c>
      <c r="U16">
        <v>8</v>
      </c>
      <c r="W16" t="s">
        <v>268</v>
      </c>
      <c r="X16">
        <v>11</v>
      </c>
      <c r="AG16" s="214" t="s">
        <v>532</v>
      </c>
      <c r="AH16" s="214">
        <v>-1</v>
      </c>
    </row>
    <row r="17" spans="5:24" x14ac:dyDescent="0.15">
      <c r="M17">
        <v>0</v>
      </c>
      <c r="P17" s="214">
        <v>0</v>
      </c>
      <c r="R17" s="214">
        <v>0</v>
      </c>
      <c r="T17" t="s">
        <v>136</v>
      </c>
      <c r="U17">
        <v>9</v>
      </c>
      <c r="W17" t="s">
        <v>131</v>
      </c>
      <c r="X17">
        <v>12</v>
      </c>
    </row>
    <row r="18" spans="5:24" x14ac:dyDescent="0.15">
      <c r="M18">
        <v>0</v>
      </c>
      <c r="P18" s="214">
        <v>0</v>
      </c>
      <c r="R18" s="214">
        <v>0</v>
      </c>
      <c r="T18" t="s">
        <v>137</v>
      </c>
      <c r="U18">
        <v>10</v>
      </c>
      <c r="W18" t="s">
        <v>390</v>
      </c>
      <c r="X18">
        <v>13</v>
      </c>
    </row>
    <row r="19" spans="5:24" x14ac:dyDescent="0.15">
      <c r="F19">
        <v>0</v>
      </c>
      <c r="G19">
        <v>0</v>
      </c>
      <c r="L19" t="s">
        <v>459</v>
      </c>
      <c r="M19">
        <v>2</v>
      </c>
      <c r="N19">
        <v>1</v>
      </c>
      <c r="O19" s="214" t="s">
        <v>107</v>
      </c>
      <c r="P19" s="214">
        <v>-1</v>
      </c>
      <c r="Q19" s="214" t="s">
        <v>110</v>
      </c>
      <c r="R19" s="214">
        <v>-1</v>
      </c>
      <c r="T19" t="s">
        <v>206</v>
      </c>
      <c r="U19">
        <v>12</v>
      </c>
      <c r="X19">
        <v>0</v>
      </c>
    </row>
    <row r="20" spans="5:24" x14ac:dyDescent="0.15">
      <c r="E20" t="s">
        <v>553</v>
      </c>
      <c r="F20">
        <v>1</v>
      </c>
      <c r="G20">
        <v>0</v>
      </c>
      <c r="L20" t="s">
        <v>460</v>
      </c>
      <c r="M20">
        <v>5</v>
      </c>
      <c r="N20">
        <v>4</v>
      </c>
      <c r="O20" s="214" t="s">
        <v>107</v>
      </c>
      <c r="P20" s="214">
        <v>-1</v>
      </c>
      <c r="Q20" s="214" t="s">
        <v>110</v>
      </c>
      <c r="R20" s="214">
        <v>-1</v>
      </c>
      <c r="U20">
        <v>0</v>
      </c>
      <c r="X20">
        <v>0</v>
      </c>
    </row>
    <row r="21" spans="5:24" x14ac:dyDescent="0.15">
      <c r="E21" t="s">
        <v>568</v>
      </c>
      <c r="F21">
        <v>2</v>
      </c>
      <c r="G21">
        <v>1</v>
      </c>
      <c r="L21" t="s">
        <v>461</v>
      </c>
      <c r="M21">
        <v>18</v>
      </c>
      <c r="N21">
        <v>3</v>
      </c>
      <c r="O21" s="214" t="s">
        <v>107</v>
      </c>
      <c r="P21" s="214">
        <v>-1</v>
      </c>
      <c r="Q21" s="214" t="s">
        <v>110</v>
      </c>
      <c r="R21" s="214">
        <v>-1</v>
      </c>
      <c r="U21">
        <v>0</v>
      </c>
    </row>
    <row r="22" spans="5:24" x14ac:dyDescent="0.15">
      <c r="E22" t="s">
        <v>376</v>
      </c>
      <c r="F22">
        <v>3</v>
      </c>
      <c r="G22">
        <v>0</v>
      </c>
      <c r="L22" t="s">
        <v>283</v>
      </c>
      <c r="M22">
        <v>20</v>
      </c>
      <c r="N22">
        <v>2</v>
      </c>
      <c r="O22" s="214" t="s">
        <v>107</v>
      </c>
      <c r="P22" s="214">
        <v>-1</v>
      </c>
      <c r="Q22" s="214" t="s">
        <v>110</v>
      </c>
      <c r="R22" s="214">
        <v>-1</v>
      </c>
      <c r="U22">
        <v>0</v>
      </c>
    </row>
    <row r="23" spans="5:24" x14ac:dyDescent="0.15">
      <c r="E23" t="s">
        <v>377</v>
      </c>
      <c r="F23">
        <v>4</v>
      </c>
      <c r="G23">
        <v>1</v>
      </c>
      <c r="M23">
        <v>0</v>
      </c>
      <c r="P23" s="214">
        <v>0</v>
      </c>
      <c r="R23" s="214">
        <v>0</v>
      </c>
      <c r="T23" t="s">
        <v>155</v>
      </c>
      <c r="U23">
        <v>1</v>
      </c>
    </row>
    <row r="24" spans="5:24" x14ac:dyDescent="0.15">
      <c r="E24" t="s">
        <v>378</v>
      </c>
      <c r="F24">
        <v>5</v>
      </c>
      <c r="G24">
        <v>0</v>
      </c>
      <c r="M24">
        <v>0</v>
      </c>
      <c r="P24" s="214">
        <v>0</v>
      </c>
      <c r="R24" s="214">
        <v>0</v>
      </c>
      <c r="T24" t="s">
        <v>470</v>
      </c>
      <c r="U24">
        <v>5</v>
      </c>
    </row>
    <row r="25" spans="5:24" x14ac:dyDescent="0.15">
      <c r="E25" t="s">
        <v>379</v>
      </c>
      <c r="F25">
        <v>6</v>
      </c>
      <c r="G25">
        <v>1</v>
      </c>
      <c r="M25">
        <v>0</v>
      </c>
      <c r="P25" s="214">
        <v>0</v>
      </c>
      <c r="R25" s="214">
        <v>0</v>
      </c>
      <c r="T25" t="s">
        <v>471</v>
      </c>
      <c r="U25">
        <v>7</v>
      </c>
    </row>
    <row r="26" spans="5:24" x14ac:dyDescent="0.15">
      <c r="E26" t="s">
        <v>458</v>
      </c>
      <c r="F26">
        <v>11</v>
      </c>
      <c r="G26">
        <v>0</v>
      </c>
      <c r="L26" t="s">
        <v>284</v>
      </c>
      <c r="M26">
        <v>3</v>
      </c>
      <c r="N26">
        <v>1</v>
      </c>
      <c r="O26" s="214" t="s">
        <v>107</v>
      </c>
      <c r="P26" s="214">
        <v>-1</v>
      </c>
      <c r="Q26" s="214" t="s">
        <v>110</v>
      </c>
      <c r="R26" s="214">
        <v>-1</v>
      </c>
      <c r="T26" t="s">
        <v>472</v>
      </c>
      <c r="U26">
        <v>8</v>
      </c>
    </row>
    <row r="27" spans="5:24" x14ac:dyDescent="0.15">
      <c r="L27" t="s">
        <v>285</v>
      </c>
      <c r="M27">
        <v>6</v>
      </c>
      <c r="N27">
        <v>4</v>
      </c>
      <c r="O27" s="214" t="s">
        <v>107</v>
      </c>
      <c r="P27" s="214">
        <v>-1</v>
      </c>
      <c r="Q27" s="214" t="s">
        <v>110</v>
      </c>
      <c r="R27" s="214">
        <v>-1</v>
      </c>
      <c r="T27" t="s">
        <v>156</v>
      </c>
      <c r="U27">
        <v>11</v>
      </c>
    </row>
    <row r="28" spans="5:24" x14ac:dyDescent="0.15">
      <c r="L28" t="s">
        <v>286</v>
      </c>
      <c r="M28">
        <v>7</v>
      </c>
      <c r="N28">
        <v>1</v>
      </c>
      <c r="O28" s="214" t="s">
        <v>107</v>
      </c>
      <c r="P28" s="214">
        <v>-1</v>
      </c>
      <c r="Q28" s="214" t="s">
        <v>110</v>
      </c>
      <c r="R28" s="214">
        <v>-1</v>
      </c>
    </row>
    <row r="29" spans="5:24" x14ac:dyDescent="0.15">
      <c r="L29" t="s">
        <v>287</v>
      </c>
      <c r="M29">
        <v>8</v>
      </c>
      <c r="N29">
        <v>4</v>
      </c>
      <c r="O29" s="214" t="s">
        <v>107</v>
      </c>
      <c r="P29" s="214">
        <v>-1</v>
      </c>
      <c r="Q29" s="214" t="s">
        <v>110</v>
      </c>
      <c r="R29" s="214">
        <v>-1</v>
      </c>
    </row>
    <row r="30" spans="5:24" x14ac:dyDescent="0.15">
      <c r="L30" t="s">
        <v>462</v>
      </c>
      <c r="M30">
        <v>16</v>
      </c>
      <c r="N30">
        <v>3</v>
      </c>
      <c r="O30" s="214" t="s">
        <v>107</v>
      </c>
      <c r="P30" s="214">
        <v>-1</v>
      </c>
      <c r="Q30" s="214" t="s">
        <v>110</v>
      </c>
      <c r="R30" s="214">
        <v>-1</v>
      </c>
    </row>
    <row r="31" spans="5:24" x14ac:dyDescent="0.15">
      <c r="L31" t="s">
        <v>463</v>
      </c>
      <c r="M31">
        <v>19</v>
      </c>
      <c r="N31">
        <v>2</v>
      </c>
      <c r="O31" s="214" t="s">
        <v>107</v>
      </c>
      <c r="P31" s="214">
        <v>-1</v>
      </c>
      <c r="Q31" s="214" t="s">
        <v>110</v>
      </c>
      <c r="R31" s="214">
        <v>-1</v>
      </c>
    </row>
    <row r="32" spans="5:24" x14ac:dyDescent="0.15">
      <c r="M32">
        <v>0</v>
      </c>
      <c r="P32" s="214">
        <v>0</v>
      </c>
      <c r="R32">
        <v>0</v>
      </c>
    </row>
    <row r="33" spans="12:18" x14ac:dyDescent="0.15">
      <c r="M33">
        <v>0</v>
      </c>
      <c r="P33" s="214">
        <v>0</v>
      </c>
      <c r="R33">
        <v>0</v>
      </c>
    </row>
    <row r="34" spans="12:18" x14ac:dyDescent="0.15">
      <c r="L34" t="s">
        <v>74</v>
      </c>
      <c r="M34">
        <v>0</v>
      </c>
      <c r="P34" s="214">
        <v>0</v>
      </c>
      <c r="R34">
        <v>0</v>
      </c>
    </row>
    <row r="35" spans="12:18" x14ac:dyDescent="0.15">
      <c r="L35" t="s">
        <v>637</v>
      </c>
      <c r="M35">
        <v>21</v>
      </c>
      <c r="N35">
        <v>10</v>
      </c>
      <c r="O35" s="214" t="s">
        <v>157</v>
      </c>
      <c r="P35" s="214">
        <v>23</v>
      </c>
      <c r="Q35" s="214" t="s">
        <v>202</v>
      </c>
      <c r="R35" s="214">
        <v>21</v>
      </c>
    </row>
    <row r="36" spans="12:18" x14ac:dyDescent="0.15">
      <c r="L36" t="s">
        <v>467</v>
      </c>
      <c r="M36">
        <v>22</v>
      </c>
      <c r="N36">
        <v>7</v>
      </c>
      <c r="O36" s="214" t="s">
        <v>157</v>
      </c>
      <c r="P36" s="214">
        <v>23</v>
      </c>
      <c r="Q36" s="214" t="s">
        <v>467</v>
      </c>
      <c r="R36" s="214">
        <v>22</v>
      </c>
    </row>
    <row r="37" spans="12:18" x14ac:dyDescent="0.15">
      <c r="L37" t="s">
        <v>203</v>
      </c>
      <c r="M37">
        <v>24</v>
      </c>
      <c r="N37">
        <v>10</v>
      </c>
      <c r="O37" s="214" t="s">
        <v>158</v>
      </c>
      <c r="P37" s="214">
        <v>26</v>
      </c>
      <c r="Q37" s="214" t="s">
        <v>203</v>
      </c>
      <c r="R37" s="214">
        <v>24</v>
      </c>
    </row>
    <row r="38" spans="12:18" x14ac:dyDescent="0.15">
      <c r="L38" t="s">
        <v>468</v>
      </c>
      <c r="M38">
        <v>25</v>
      </c>
      <c r="N38">
        <v>7</v>
      </c>
      <c r="O38" s="214" t="s">
        <v>158</v>
      </c>
      <c r="P38" s="214">
        <v>26</v>
      </c>
      <c r="Q38" s="214" t="s">
        <v>468</v>
      </c>
      <c r="R38" s="214">
        <v>25</v>
      </c>
    </row>
    <row r="39" spans="12:18" x14ac:dyDescent="0.15">
      <c r="L39" t="s">
        <v>75</v>
      </c>
      <c r="M39">
        <v>27</v>
      </c>
      <c r="N39">
        <v>10</v>
      </c>
      <c r="O39" s="214" t="s">
        <v>159</v>
      </c>
      <c r="P39" s="214">
        <v>29</v>
      </c>
      <c r="Q39" s="214" t="s">
        <v>75</v>
      </c>
      <c r="R39" s="214">
        <v>27</v>
      </c>
    </row>
    <row r="40" spans="12:18" x14ac:dyDescent="0.15">
      <c r="L40" t="s">
        <v>469</v>
      </c>
      <c r="M40">
        <v>28</v>
      </c>
      <c r="N40">
        <v>7</v>
      </c>
      <c r="O40" s="214" t="s">
        <v>159</v>
      </c>
      <c r="P40" s="214">
        <v>29</v>
      </c>
      <c r="Q40" s="214" t="s">
        <v>469</v>
      </c>
      <c r="R40" s="214">
        <v>28</v>
      </c>
    </row>
    <row r="41" spans="12:18" x14ac:dyDescent="0.15">
      <c r="L41" t="s">
        <v>204</v>
      </c>
      <c r="M41">
        <v>30</v>
      </c>
      <c r="N41">
        <v>9</v>
      </c>
      <c r="O41" s="214" t="s">
        <v>67</v>
      </c>
      <c r="P41" s="214">
        <v>31</v>
      </c>
      <c r="Q41" s="214" t="s">
        <v>204</v>
      </c>
      <c r="R41" s="214">
        <v>30</v>
      </c>
    </row>
    <row r="42" spans="12:18" x14ac:dyDescent="0.15">
      <c r="L42" t="s">
        <v>67</v>
      </c>
      <c r="M42">
        <v>31</v>
      </c>
      <c r="N42">
        <v>8</v>
      </c>
      <c r="O42" s="214" t="s">
        <v>67</v>
      </c>
      <c r="P42" s="214">
        <v>31</v>
      </c>
      <c r="Q42" s="214" t="s">
        <v>67</v>
      </c>
      <c r="R42" s="214">
        <v>31</v>
      </c>
    </row>
    <row r="43" spans="12:18" x14ac:dyDescent="0.15">
      <c r="L43" t="s">
        <v>590</v>
      </c>
      <c r="M43">
        <v>32</v>
      </c>
      <c r="N43">
        <v>9</v>
      </c>
      <c r="O43" s="214" t="s">
        <v>591</v>
      </c>
      <c r="P43" s="214">
        <v>33</v>
      </c>
      <c r="Q43" s="214" t="s">
        <v>590</v>
      </c>
      <c r="R43" s="214">
        <v>32</v>
      </c>
    </row>
    <row r="44" spans="12:18" x14ac:dyDescent="0.15">
      <c r="L44" t="s">
        <v>591</v>
      </c>
      <c r="M44">
        <v>33</v>
      </c>
      <c r="N44">
        <v>8</v>
      </c>
      <c r="O44" s="214" t="s">
        <v>591</v>
      </c>
      <c r="P44" s="214">
        <v>33</v>
      </c>
      <c r="Q44" s="214" t="s">
        <v>591</v>
      </c>
      <c r="R44" s="214">
        <v>33</v>
      </c>
    </row>
  </sheetData>
  <sheetProtection selectLockedCells="1" selectUnlockedCells="1"/>
  <mergeCells count="3">
    <mergeCell ref="N1:X1"/>
    <mergeCell ref="G1:M1"/>
    <mergeCell ref="A1:E1"/>
  </mergeCells>
  <phoneticPr fontId="20"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BS94"/>
  <sheetViews>
    <sheetView showRuler="0" topLeftCell="P1" workbookViewId="0">
      <selection activeCell="F4" sqref="F4"/>
    </sheetView>
  </sheetViews>
  <sheetFormatPr baseColWidth="10" defaultColWidth="10.83203125" defaultRowHeight="13" x14ac:dyDescent="0.15"/>
  <cols>
    <col min="1" max="1" width="15.83203125" style="304" customWidth="1"/>
    <col min="2" max="2" width="8.33203125" style="304" customWidth="1"/>
    <col min="3" max="3" width="2.6640625" style="304" customWidth="1"/>
    <col min="4" max="4" width="2.83203125" style="304" customWidth="1"/>
    <col min="5" max="5" width="5.33203125" style="304" customWidth="1"/>
    <col min="6" max="6" width="3.6640625" style="304" customWidth="1"/>
    <col min="7" max="7" width="4.5" style="304" customWidth="1"/>
    <col min="8" max="8" width="3.83203125" style="304" customWidth="1"/>
    <col min="9" max="9" width="4.5" style="304" customWidth="1"/>
    <col min="10" max="10" width="3.83203125" style="304" customWidth="1"/>
    <col min="11" max="11" width="4.5" style="304" customWidth="1"/>
    <col min="12" max="12" width="4.1640625" style="304" customWidth="1"/>
    <col min="13" max="13" width="3.33203125" style="304" customWidth="1"/>
    <col min="14" max="14" width="3.83203125" style="304" customWidth="1"/>
    <col min="15" max="15" width="4.5" style="304" customWidth="1"/>
    <col min="16" max="16" width="4.6640625" style="304" customWidth="1"/>
    <col min="17" max="17" width="3.33203125" style="304" customWidth="1"/>
    <col min="18" max="18" width="4" style="304" customWidth="1"/>
    <col min="19" max="19" width="3.6640625" style="304" customWidth="1"/>
    <col min="20" max="22" width="3.83203125" style="304" customWidth="1"/>
    <col min="23" max="23" width="4.5" style="304" customWidth="1"/>
    <col min="24" max="24" width="5.33203125" style="304" customWidth="1"/>
    <col min="25" max="25" width="3.83203125" style="304" customWidth="1"/>
    <col min="26" max="56" width="4.6640625" style="304" customWidth="1"/>
    <col min="57" max="57" width="3.33203125" style="304" customWidth="1"/>
    <col min="58" max="69" width="4.6640625" style="304" customWidth="1"/>
    <col min="70" max="70" width="4" style="304" customWidth="1"/>
    <col min="71" max="71" width="3.83203125" style="304" customWidth="1"/>
    <col min="72" max="16384" width="10.83203125" style="304"/>
  </cols>
  <sheetData>
    <row r="1" spans="1:71" ht="51" customHeight="1" x14ac:dyDescent="0.15">
      <c r="A1" s="477" t="s">
        <v>552</v>
      </c>
      <c r="B1" s="477"/>
      <c r="C1" s="477"/>
      <c r="D1" s="477"/>
      <c r="E1" s="477"/>
      <c r="F1" s="477"/>
      <c r="G1" s="477"/>
      <c r="H1" s="477"/>
      <c r="I1" s="477"/>
      <c r="J1" s="477"/>
      <c r="K1" s="477"/>
      <c r="L1" s="477"/>
      <c r="M1" s="477"/>
      <c r="N1" s="477"/>
      <c r="O1" s="477"/>
      <c r="P1" s="488"/>
      <c r="T1" s="476" t="s">
        <v>611</v>
      </c>
      <c r="U1" s="477"/>
      <c r="V1" s="477"/>
      <c r="W1" s="477"/>
      <c r="X1" s="477"/>
      <c r="Y1" s="477"/>
      <c r="Z1" s="478"/>
      <c r="AA1" s="478"/>
      <c r="AB1" s="478"/>
      <c r="AC1" s="478"/>
      <c r="AD1" s="478"/>
      <c r="AE1" s="478"/>
    </row>
    <row r="2" spans="1:71" x14ac:dyDescent="0.15">
      <c r="F2" s="489" t="s">
        <v>500</v>
      </c>
      <c r="G2" s="489"/>
      <c r="H2" s="489"/>
      <c r="I2" s="489"/>
      <c r="J2" s="489"/>
      <c r="K2" s="489"/>
      <c r="L2" s="489"/>
      <c r="M2" s="489"/>
      <c r="N2" s="489"/>
      <c r="O2" s="489"/>
      <c r="P2" s="489"/>
      <c r="R2" s="481" t="s">
        <v>375</v>
      </c>
      <c r="S2" s="481"/>
      <c r="T2" s="481"/>
      <c r="U2" s="481"/>
      <c r="V2" s="481"/>
      <c r="W2" s="481"/>
      <c r="X2" s="481"/>
      <c r="Z2" s="479" t="s">
        <v>190</v>
      </c>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359"/>
      <c r="BF2" s="359"/>
      <c r="BH2" s="480" t="s">
        <v>315</v>
      </c>
      <c r="BI2" s="480"/>
      <c r="BJ2" s="480"/>
      <c r="BK2" s="480"/>
      <c r="BL2" s="480"/>
      <c r="BM2" s="480"/>
      <c r="BN2" s="480"/>
      <c r="BO2" s="480"/>
      <c r="BP2" s="480"/>
      <c r="BQ2" s="480"/>
      <c r="BR2" s="480"/>
      <c r="BS2" s="480"/>
    </row>
    <row r="3" spans="1:71" x14ac:dyDescent="0.15">
      <c r="A3" s="304" t="s">
        <v>354</v>
      </c>
      <c r="B3" s="304">
        <f>IF(OR(c.style=0,c.species=0),0,INDEX(vt.syle.species,c.style,c.species))</f>
        <v>0</v>
      </c>
      <c r="F3" s="304" t="s">
        <v>631</v>
      </c>
      <c r="G3" s="304" t="s">
        <v>632</v>
      </c>
      <c r="H3" s="304" t="s">
        <v>633</v>
      </c>
      <c r="I3" s="304" t="s">
        <v>498</v>
      </c>
      <c r="J3" s="304" t="s">
        <v>585</v>
      </c>
      <c r="K3" s="304" t="s">
        <v>586</v>
      </c>
      <c r="L3" s="304" t="s">
        <v>587</v>
      </c>
      <c r="M3" s="304" t="s">
        <v>588</v>
      </c>
      <c r="N3" s="304" t="s">
        <v>372</v>
      </c>
      <c r="O3" s="304" t="s">
        <v>373</v>
      </c>
      <c r="P3" s="304" t="s">
        <v>374</v>
      </c>
      <c r="R3" s="304">
        <v>100</v>
      </c>
      <c r="S3" s="304">
        <v>200</v>
      </c>
      <c r="T3" s="304">
        <v>300</v>
      </c>
      <c r="U3" s="304">
        <v>400</v>
      </c>
      <c r="V3" s="304">
        <v>500</v>
      </c>
      <c r="W3" s="304" t="s">
        <v>188</v>
      </c>
      <c r="X3" s="304" t="s">
        <v>189</v>
      </c>
      <c r="Z3" s="304" t="s">
        <v>191</v>
      </c>
      <c r="AA3" s="304" t="s">
        <v>192</v>
      </c>
      <c r="AB3" s="304" t="s">
        <v>193</v>
      </c>
      <c r="AC3" s="304" t="s">
        <v>195</v>
      </c>
      <c r="AD3" s="304" t="s">
        <v>196</v>
      </c>
      <c r="AE3" s="304" t="s">
        <v>197</v>
      </c>
      <c r="AF3" s="304" t="s">
        <v>194</v>
      </c>
      <c r="AG3" s="304" t="s">
        <v>198</v>
      </c>
      <c r="AH3" s="304" t="s">
        <v>199</v>
      </c>
      <c r="AI3" s="304" t="s">
        <v>523</v>
      </c>
      <c r="AJ3" s="304" t="s">
        <v>524</v>
      </c>
      <c r="AK3" s="304" t="s">
        <v>525</v>
      </c>
      <c r="AL3" s="304" t="s">
        <v>526</v>
      </c>
      <c r="AM3" s="304" t="s">
        <v>527</v>
      </c>
      <c r="AN3" s="304" t="s">
        <v>528</v>
      </c>
      <c r="AO3" s="304" t="s">
        <v>529</v>
      </c>
      <c r="AP3" s="304" t="s">
        <v>530</v>
      </c>
      <c r="AQ3" s="304" t="s">
        <v>54</v>
      </c>
      <c r="AR3" s="304" t="s">
        <v>55</v>
      </c>
      <c r="AS3" s="304" t="s">
        <v>56</v>
      </c>
      <c r="AT3" s="304" t="s">
        <v>566</v>
      </c>
      <c r="AU3" s="304" t="s">
        <v>567</v>
      </c>
      <c r="AV3" s="304" t="s">
        <v>419</v>
      </c>
      <c r="AW3" s="304" t="s">
        <v>420</v>
      </c>
      <c r="AX3" s="304" t="s">
        <v>421</v>
      </c>
      <c r="AY3" s="304" t="s">
        <v>422</v>
      </c>
      <c r="AZ3" s="304" t="s">
        <v>423</v>
      </c>
      <c r="BA3" s="304" t="s">
        <v>424</v>
      </c>
      <c r="BB3" s="304" t="s">
        <v>425</v>
      </c>
      <c r="BC3" s="304" t="s">
        <v>426</v>
      </c>
      <c r="BD3" s="304" t="s">
        <v>427</v>
      </c>
      <c r="BE3" s="304" t="s">
        <v>630</v>
      </c>
      <c r="BF3" s="304" t="s">
        <v>589</v>
      </c>
      <c r="BH3" s="304" t="s">
        <v>615</v>
      </c>
      <c r="BI3" s="304" t="s">
        <v>616</v>
      </c>
      <c r="BJ3" s="304" t="s">
        <v>617</v>
      </c>
      <c r="BK3" s="304" t="s">
        <v>618</v>
      </c>
      <c r="BL3" s="304" t="s">
        <v>619</v>
      </c>
      <c r="BM3" s="304" t="s">
        <v>620</v>
      </c>
      <c r="BN3" s="304" t="s">
        <v>477</v>
      </c>
      <c r="BO3" s="304" t="s">
        <v>310</v>
      </c>
      <c r="BP3" s="304" t="s">
        <v>311</v>
      </c>
      <c r="BQ3" s="304" t="s">
        <v>312</v>
      </c>
      <c r="BR3" s="304" t="s">
        <v>313</v>
      </c>
      <c r="BS3" s="304" t="s">
        <v>314</v>
      </c>
    </row>
    <row r="4" spans="1:71" x14ac:dyDescent="0.15">
      <c r="A4" s="304" t="s">
        <v>152</v>
      </c>
      <c r="B4" s="304">
        <f>IF(OR(c.style=0,c.design.upper=0),0,INDEX(vt.style.design,c.style,c.design.upper))</f>
        <v>0</v>
      </c>
      <c r="D4" s="493" t="s">
        <v>320</v>
      </c>
      <c r="E4" s="304" t="s">
        <v>428</v>
      </c>
      <c r="F4" s="305">
        <v>1</v>
      </c>
      <c r="G4" s="305">
        <v>1</v>
      </c>
      <c r="H4" s="305">
        <v>1</v>
      </c>
      <c r="I4" s="305">
        <v>1</v>
      </c>
      <c r="J4" s="305">
        <v>1</v>
      </c>
      <c r="K4" s="305">
        <v>1</v>
      </c>
      <c r="L4" s="305">
        <v>1</v>
      </c>
      <c r="M4" s="305">
        <v>1</v>
      </c>
      <c r="N4" s="305">
        <v>1</v>
      </c>
      <c r="O4" s="305">
        <v>1</v>
      </c>
      <c r="P4" s="305">
        <v>1</v>
      </c>
      <c r="R4" s="305">
        <v>1</v>
      </c>
      <c r="S4" s="305">
        <v>1</v>
      </c>
      <c r="T4" s="305">
        <v>1</v>
      </c>
      <c r="U4" s="305">
        <v>1</v>
      </c>
      <c r="V4" s="305">
        <v>1</v>
      </c>
      <c r="W4" s="305">
        <v>0</v>
      </c>
      <c r="X4" s="305">
        <v>0</v>
      </c>
      <c r="Z4" s="305">
        <v>1</v>
      </c>
      <c r="AA4" s="305">
        <v>0</v>
      </c>
      <c r="AB4" s="305">
        <v>1</v>
      </c>
      <c r="AC4" s="305">
        <v>1</v>
      </c>
      <c r="AD4" s="305">
        <v>0</v>
      </c>
      <c r="AE4" s="305">
        <v>0</v>
      </c>
      <c r="AF4" s="305">
        <v>0</v>
      </c>
      <c r="AG4" s="305">
        <v>0</v>
      </c>
      <c r="AH4" s="305">
        <v>1</v>
      </c>
      <c r="AI4" s="305">
        <v>1</v>
      </c>
      <c r="AJ4" s="305">
        <v>1</v>
      </c>
      <c r="AK4" s="305">
        <v>1</v>
      </c>
      <c r="AL4" s="305">
        <v>1</v>
      </c>
      <c r="AM4" s="305">
        <v>1</v>
      </c>
      <c r="AN4" s="305">
        <v>1</v>
      </c>
      <c r="AO4" s="305">
        <v>0</v>
      </c>
      <c r="AP4" s="305">
        <v>1</v>
      </c>
      <c r="AQ4" s="305">
        <v>0</v>
      </c>
      <c r="AR4" s="305">
        <v>1</v>
      </c>
      <c r="AS4" s="305">
        <v>0</v>
      </c>
      <c r="AT4" s="305">
        <v>0</v>
      </c>
      <c r="AU4" s="305">
        <v>0</v>
      </c>
      <c r="AV4" s="305">
        <v>0</v>
      </c>
      <c r="AW4" s="305">
        <v>0</v>
      </c>
      <c r="AX4" s="305">
        <v>0</v>
      </c>
      <c r="AY4" s="305">
        <v>0</v>
      </c>
      <c r="AZ4" s="305">
        <v>0</v>
      </c>
      <c r="BA4" s="305">
        <v>0</v>
      </c>
      <c r="BB4" s="305">
        <v>0</v>
      </c>
      <c r="BC4" s="305">
        <v>0</v>
      </c>
      <c r="BD4" s="305">
        <v>0</v>
      </c>
      <c r="BE4" s="305">
        <v>0</v>
      </c>
      <c r="BF4" s="305">
        <v>0</v>
      </c>
      <c r="BH4" s="305">
        <v>1</v>
      </c>
      <c r="BI4" s="305">
        <v>0</v>
      </c>
      <c r="BJ4" s="305">
        <v>0</v>
      </c>
      <c r="BK4" s="305">
        <v>0</v>
      </c>
      <c r="BL4" s="305">
        <v>0</v>
      </c>
      <c r="BM4" s="305">
        <v>0</v>
      </c>
      <c r="BN4" s="305">
        <v>0</v>
      </c>
      <c r="BO4" s="305">
        <v>0</v>
      </c>
      <c r="BP4" s="305">
        <v>0</v>
      </c>
      <c r="BQ4" s="305">
        <v>0</v>
      </c>
      <c r="BR4" s="305">
        <v>0</v>
      </c>
      <c r="BS4" s="305">
        <v>0</v>
      </c>
    </row>
    <row r="5" spans="1:71" x14ac:dyDescent="0.15">
      <c r="A5" s="304" t="s">
        <v>329</v>
      </c>
      <c r="B5" s="304">
        <f>IF(OR(c.style=0,c.design.base=0),0,INDEX(vt.style.design,c.style,c.design.base))</f>
        <v>0</v>
      </c>
      <c r="D5" s="493"/>
      <c r="E5" s="304" t="s">
        <v>429</v>
      </c>
      <c r="F5" s="305">
        <v>1</v>
      </c>
      <c r="G5" s="305">
        <v>1</v>
      </c>
      <c r="H5" s="305">
        <v>1</v>
      </c>
      <c r="I5" s="305">
        <v>1</v>
      </c>
      <c r="J5" s="305">
        <v>1</v>
      </c>
      <c r="K5" s="305">
        <v>1</v>
      </c>
      <c r="L5" s="305">
        <v>1</v>
      </c>
      <c r="M5" s="305">
        <v>1</v>
      </c>
      <c r="N5" s="305">
        <v>1</v>
      </c>
      <c r="O5" s="305">
        <v>1</v>
      </c>
      <c r="P5" s="305">
        <v>1</v>
      </c>
      <c r="R5" s="305">
        <v>1</v>
      </c>
      <c r="S5" s="305">
        <v>1</v>
      </c>
      <c r="T5" s="305">
        <v>1</v>
      </c>
      <c r="U5" s="305">
        <v>1</v>
      </c>
      <c r="V5" s="305">
        <v>1</v>
      </c>
      <c r="W5" s="305">
        <v>0</v>
      </c>
      <c r="X5" s="305">
        <v>0</v>
      </c>
      <c r="Z5" s="305">
        <v>1</v>
      </c>
      <c r="AA5" s="305">
        <v>0</v>
      </c>
      <c r="AB5" s="305">
        <v>0</v>
      </c>
      <c r="AC5" s="305">
        <v>1</v>
      </c>
      <c r="AD5" s="305">
        <v>0</v>
      </c>
      <c r="AE5" s="305">
        <v>0</v>
      </c>
      <c r="AF5" s="305">
        <v>0</v>
      </c>
      <c r="AG5" s="305">
        <v>0</v>
      </c>
      <c r="AH5" s="305">
        <v>1</v>
      </c>
      <c r="AI5" s="305">
        <v>1</v>
      </c>
      <c r="AJ5" s="305">
        <v>1</v>
      </c>
      <c r="AK5" s="305">
        <v>1</v>
      </c>
      <c r="AL5" s="305">
        <v>1</v>
      </c>
      <c r="AM5" s="305">
        <v>1</v>
      </c>
      <c r="AN5" s="305">
        <v>1</v>
      </c>
      <c r="AO5" s="305">
        <v>0</v>
      </c>
      <c r="AP5" s="305">
        <v>1</v>
      </c>
      <c r="AQ5" s="305">
        <v>0</v>
      </c>
      <c r="AR5" s="305">
        <v>1</v>
      </c>
      <c r="AS5" s="305">
        <v>0</v>
      </c>
      <c r="AT5" s="305">
        <v>0</v>
      </c>
      <c r="AU5" s="305">
        <v>0</v>
      </c>
      <c r="AV5" s="305">
        <v>0</v>
      </c>
      <c r="AW5" s="305">
        <v>0</v>
      </c>
      <c r="AX5" s="305">
        <v>0</v>
      </c>
      <c r="AY5" s="305">
        <v>0</v>
      </c>
      <c r="AZ5" s="305">
        <v>0</v>
      </c>
      <c r="BA5" s="305">
        <v>0</v>
      </c>
      <c r="BB5" s="305">
        <v>0</v>
      </c>
      <c r="BC5" s="305">
        <v>0</v>
      </c>
      <c r="BD5" s="305">
        <v>0</v>
      </c>
      <c r="BE5" s="305">
        <v>0</v>
      </c>
      <c r="BF5" s="305">
        <v>0</v>
      </c>
      <c r="BH5" s="305">
        <v>0</v>
      </c>
      <c r="BI5" s="305">
        <v>1</v>
      </c>
      <c r="BJ5" s="305">
        <v>1</v>
      </c>
      <c r="BK5" s="305">
        <v>1</v>
      </c>
      <c r="BL5" s="305">
        <v>1</v>
      </c>
      <c r="BM5" s="305">
        <v>1</v>
      </c>
      <c r="BN5" s="305">
        <v>1</v>
      </c>
      <c r="BO5" s="305">
        <v>1</v>
      </c>
      <c r="BP5" s="305">
        <v>1</v>
      </c>
      <c r="BQ5" s="305">
        <v>1</v>
      </c>
      <c r="BR5" s="305">
        <v>0</v>
      </c>
      <c r="BS5" s="305">
        <v>1</v>
      </c>
    </row>
    <row r="6" spans="1:71" x14ac:dyDescent="0.15">
      <c r="A6" s="304" t="s">
        <v>355</v>
      </c>
      <c r="B6" s="304">
        <f>IF(OR(c.style=0,c.stile=0),0,INDEX(vt.style.sr,c.style,c.stile))</f>
        <v>0</v>
      </c>
      <c r="D6" s="493"/>
      <c r="E6" s="304" t="s">
        <v>251</v>
      </c>
      <c r="F6" s="305">
        <v>1</v>
      </c>
      <c r="G6" s="305">
        <v>1</v>
      </c>
      <c r="H6" s="305">
        <v>1</v>
      </c>
      <c r="I6" s="305">
        <v>1</v>
      </c>
      <c r="J6" s="305">
        <v>1</v>
      </c>
      <c r="K6" s="305">
        <v>1</v>
      </c>
      <c r="L6" s="305">
        <v>1</v>
      </c>
      <c r="M6" s="305">
        <v>1</v>
      </c>
      <c r="N6" s="305">
        <v>1</v>
      </c>
      <c r="O6" s="305">
        <v>1</v>
      </c>
      <c r="P6" s="305">
        <v>1</v>
      </c>
      <c r="R6" s="305">
        <v>0</v>
      </c>
      <c r="S6" s="305">
        <v>0</v>
      </c>
      <c r="T6" s="305">
        <v>0</v>
      </c>
      <c r="U6" s="305">
        <v>0</v>
      </c>
      <c r="V6" s="305">
        <v>0</v>
      </c>
      <c r="W6" s="305">
        <v>1</v>
      </c>
      <c r="X6" s="305">
        <v>0</v>
      </c>
      <c r="Z6" s="305">
        <v>0</v>
      </c>
      <c r="AA6" s="305">
        <v>1</v>
      </c>
      <c r="AB6" s="305">
        <v>0</v>
      </c>
      <c r="AC6" s="305">
        <v>0</v>
      </c>
      <c r="AD6" s="305">
        <v>1</v>
      </c>
      <c r="AE6" s="305">
        <v>0</v>
      </c>
      <c r="AF6" s="305">
        <v>0</v>
      </c>
      <c r="AG6" s="305">
        <v>0</v>
      </c>
      <c r="AH6" s="305">
        <v>0</v>
      </c>
      <c r="AI6" s="305">
        <v>0</v>
      </c>
      <c r="AJ6" s="305">
        <v>0</v>
      </c>
      <c r="AK6" s="305">
        <v>0</v>
      </c>
      <c r="AL6" s="305">
        <v>0</v>
      </c>
      <c r="AM6" s="305">
        <v>0</v>
      </c>
      <c r="AN6" s="305">
        <v>0</v>
      </c>
      <c r="AO6" s="305">
        <v>0</v>
      </c>
      <c r="AP6" s="305">
        <v>0</v>
      </c>
      <c r="AQ6" s="305">
        <v>1</v>
      </c>
      <c r="AR6" s="305">
        <v>0</v>
      </c>
      <c r="AS6" s="305">
        <v>1</v>
      </c>
      <c r="AT6" s="305">
        <v>0</v>
      </c>
      <c r="AU6" s="305">
        <v>0</v>
      </c>
      <c r="AV6" s="305">
        <v>0</v>
      </c>
      <c r="AW6" s="305">
        <v>0</v>
      </c>
      <c r="AX6" s="305">
        <v>0</v>
      </c>
      <c r="AY6" s="305">
        <v>0</v>
      </c>
      <c r="AZ6" s="305">
        <v>0</v>
      </c>
      <c r="BA6" s="305">
        <v>0</v>
      </c>
      <c r="BB6" s="305">
        <v>0</v>
      </c>
      <c r="BC6" s="305">
        <v>0</v>
      </c>
      <c r="BD6" s="305">
        <v>0</v>
      </c>
      <c r="BE6" s="305">
        <v>0</v>
      </c>
      <c r="BF6" s="305">
        <v>0</v>
      </c>
      <c r="BH6" s="305">
        <v>1</v>
      </c>
      <c r="BI6" s="305">
        <v>0</v>
      </c>
      <c r="BJ6" s="305">
        <v>0</v>
      </c>
      <c r="BK6" s="305">
        <v>0</v>
      </c>
      <c r="BL6" s="305">
        <v>1</v>
      </c>
      <c r="BM6" s="305">
        <v>0</v>
      </c>
      <c r="BN6" s="305">
        <v>1</v>
      </c>
      <c r="BO6" s="305">
        <v>1</v>
      </c>
      <c r="BP6" s="305">
        <v>0</v>
      </c>
      <c r="BQ6" s="305">
        <v>0</v>
      </c>
      <c r="BR6" s="305">
        <v>1</v>
      </c>
      <c r="BS6" s="305">
        <v>0</v>
      </c>
    </row>
    <row r="7" spans="1:71" x14ac:dyDescent="0.15">
      <c r="A7" s="304" t="s">
        <v>87</v>
      </c>
      <c r="B7" s="304">
        <f>IF(OR(c.style=0,c.panel=0),0,INDEX(vt.style.panel,c.style,c.panel))</f>
        <v>0</v>
      </c>
      <c r="D7" s="493"/>
      <c r="E7" s="304" t="s">
        <v>252</v>
      </c>
      <c r="F7" s="305">
        <v>1</v>
      </c>
      <c r="G7" s="305">
        <v>1</v>
      </c>
      <c r="H7" s="305">
        <v>1</v>
      </c>
      <c r="I7" s="305">
        <v>1</v>
      </c>
      <c r="J7" s="305">
        <v>1</v>
      </c>
      <c r="K7" s="305">
        <v>1</v>
      </c>
      <c r="L7" s="305">
        <v>1</v>
      </c>
      <c r="M7" s="305">
        <v>1</v>
      </c>
      <c r="N7" s="305">
        <v>1</v>
      </c>
      <c r="O7" s="305">
        <v>1</v>
      </c>
      <c r="P7" s="305">
        <v>1</v>
      </c>
      <c r="R7" s="305">
        <v>0</v>
      </c>
      <c r="S7" s="305">
        <v>0</v>
      </c>
      <c r="T7" s="305">
        <v>0</v>
      </c>
      <c r="U7" s="305">
        <v>0</v>
      </c>
      <c r="V7" s="305">
        <v>0</v>
      </c>
      <c r="W7" s="305">
        <v>0</v>
      </c>
      <c r="X7" s="305">
        <v>1</v>
      </c>
      <c r="Z7" s="305">
        <v>0</v>
      </c>
      <c r="AA7" s="305">
        <v>0</v>
      </c>
      <c r="AB7" s="305">
        <v>1</v>
      </c>
      <c r="AC7" s="305">
        <v>0</v>
      </c>
      <c r="AD7" s="305">
        <v>0</v>
      </c>
      <c r="AE7" s="305">
        <v>1</v>
      </c>
      <c r="AF7" s="305">
        <v>1</v>
      </c>
      <c r="AG7" s="305">
        <v>1</v>
      </c>
      <c r="AH7" s="305">
        <v>0</v>
      </c>
      <c r="AI7" s="305">
        <v>0</v>
      </c>
      <c r="AJ7" s="305">
        <v>0</v>
      </c>
      <c r="AK7" s="305">
        <v>0</v>
      </c>
      <c r="AL7" s="305">
        <v>0</v>
      </c>
      <c r="AM7" s="305">
        <v>0</v>
      </c>
      <c r="AN7" s="305">
        <v>0</v>
      </c>
      <c r="AO7" s="305">
        <v>1</v>
      </c>
      <c r="AP7" s="305">
        <v>0</v>
      </c>
      <c r="AQ7" s="305">
        <v>0</v>
      </c>
      <c r="AR7" s="305">
        <v>1</v>
      </c>
      <c r="AS7" s="305">
        <v>0</v>
      </c>
      <c r="AT7" s="305">
        <v>0</v>
      </c>
      <c r="AU7" s="305">
        <v>0</v>
      </c>
      <c r="AV7" s="305">
        <v>0</v>
      </c>
      <c r="AW7" s="305">
        <v>0</v>
      </c>
      <c r="AX7" s="305">
        <v>0</v>
      </c>
      <c r="AY7" s="305">
        <v>0</v>
      </c>
      <c r="AZ7" s="305">
        <v>0</v>
      </c>
      <c r="BA7" s="305">
        <v>0</v>
      </c>
      <c r="BB7" s="305">
        <v>0</v>
      </c>
      <c r="BC7" s="305">
        <v>0</v>
      </c>
      <c r="BD7" s="305">
        <v>0</v>
      </c>
      <c r="BE7" s="305">
        <v>0</v>
      </c>
      <c r="BF7" s="305">
        <v>0</v>
      </c>
      <c r="BH7" s="305">
        <v>1</v>
      </c>
      <c r="BI7" s="305">
        <v>0</v>
      </c>
      <c r="BJ7" s="305">
        <v>0</v>
      </c>
      <c r="BK7" s="305">
        <v>0</v>
      </c>
      <c r="BL7" s="305">
        <v>1</v>
      </c>
      <c r="BM7" s="305">
        <v>0</v>
      </c>
      <c r="BN7" s="305">
        <v>1</v>
      </c>
      <c r="BO7" s="305">
        <v>1</v>
      </c>
      <c r="BP7" s="305">
        <v>0</v>
      </c>
      <c r="BQ7" s="305">
        <v>0</v>
      </c>
      <c r="BR7" s="305">
        <v>1</v>
      </c>
      <c r="BS7" s="305">
        <v>0</v>
      </c>
    </row>
    <row r="8" spans="1:71" x14ac:dyDescent="0.15">
      <c r="D8" s="493"/>
      <c r="E8" s="304" t="s">
        <v>253</v>
      </c>
      <c r="F8" s="305">
        <v>1</v>
      </c>
      <c r="G8" s="305">
        <v>1</v>
      </c>
      <c r="H8" s="305">
        <v>1</v>
      </c>
      <c r="I8" s="305">
        <v>1</v>
      </c>
      <c r="J8" s="305">
        <v>1</v>
      </c>
      <c r="K8" s="305">
        <v>1</v>
      </c>
      <c r="L8" s="305">
        <v>0</v>
      </c>
      <c r="M8" s="305">
        <v>0</v>
      </c>
      <c r="N8" s="305">
        <v>0</v>
      </c>
      <c r="O8" s="305">
        <v>0</v>
      </c>
      <c r="P8" s="305">
        <v>1</v>
      </c>
      <c r="R8" s="305">
        <v>1</v>
      </c>
      <c r="S8" s="305">
        <v>0</v>
      </c>
      <c r="T8" s="305">
        <v>0</v>
      </c>
      <c r="U8" s="305">
        <v>0</v>
      </c>
      <c r="V8" s="305">
        <v>0</v>
      </c>
      <c r="W8" s="305">
        <v>0</v>
      </c>
      <c r="X8" s="305">
        <v>0</v>
      </c>
      <c r="Z8" s="305">
        <v>0</v>
      </c>
      <c r="AA8" s="305">
        <v>0</v>
      </c>
      <c r="AB8" s="305">
        <v>0</v>
      </c>
      <c r="AC8" s="305">
        <v>0</v>
      </c>
      <c r="AD8" s="305">
        <v>0</v>
      </c>
      <c r="AE8" s="305">
        <v>0</v>
      </c>
      <c r="AF8" s="305">
        <v>0</v>
      </c>
      <c r="AG8" s="305">
        <v>0</v>
      </c>
      <c r="AH8" s="305">
        <v>0</v>
      </c>
      <c r="AI8" s="305">
        <v>0</v>
      </c>
      <c r="AJ8" s="305">
        <v>0</v>
      </c>
      <c r="AK8" s="305">
        <v>0</v>
      </c>
      <c r="AL8" s="305">
        <v>0</v>
      </c>
      <c r="AM8" s="305">
        <v>0</v>
      </c>
      <c r="AN8" s="305">
        <v>0</v>
      </c>
      <c r="AO8" s="305">
        <v>0</v>
      </c>
      <c r="AP8" s="305">
        <v>0</v>
      </c>
      <c r="AQ8" s="305">
        <v>0</v>
      </c>
      <c r="AR8" s="305">
        <v>0</v>
      </c>
      <c r="AS8" s="305">
        <v>0</v>
      </c>
      <c r="AT8" s="305">
        <v>1</v>
      </c>
      <c r="AU8" s="305">
        <v>1</v>
      </c>
      <c r="AV8" s="305">
        <v>0</v>
      </c>
      <c r="AW8" s="305">
        <v>1</v>
      </c>
      <c r="AX8" s="305">
        <v>1</v>
      </c>
      <c r="AY8" s="305">
        <v>0</v>
      </c>
      <c r="AZ8" s="305">
        <v>1</v>
      </c>
      <c r="BA8" s="305">
        <v>1</v>
      </c>
      <c r="BB8" s="305">
        <v>0</v>
      </c>
      <c r="BC8" s="305">
        <v>1</v>
      </c>
      <c r="BD8" s="305">
        <v>1</v>
      </c>
      <c r="BE8" s="305">
        <v>1</v>
      </c>
      <c r="BF8" s="305">
        <v>1</v>
      </c>
      <c r="BH8" s="305">
        <v>1</v>
      </c>
      <c r="BI8" s="305">
        <v>0</v>
      </c>
      <c r="BJ8" s="305">
        <v>0</v>
      </c>
      <c r="BK8" s="305">
        <v>0</v>
      </c>
      <c r="BL8" s="305">
        <v>0</v>
      </c>
      <c r="BM8" s="305">
        <v>0</v>
      </c>
      <c r="BN8" s="305">
        <v>0</v>
      </c>
      <c r="BO8" s="305">
        <v>0</v>
      </c>
      <c r="BP8" s="305">
        <v>0</v>
      </c>
      <c r="BQ8" s="305">
        <v>0</v>
      </c>
      <c r="BR8" s="305">
        <v>0</v>
      </c>
      <c r="BS8" s="305">
        <v>0</v>
      </c>
    </row>
    <row r="9" spans="1:71" x14ac:dyDescent="0.15">
      <c r="D9" s="493"/>
      <c r="E9" s="304" t="s">
        <v>254</v>
      </c>
      <c r="F9" s="305">
        <v>1</v>
      </c>
      <c r="G9" s="305">
        <v>1</v>
      </c>
      <c r="H9" s="305">
        <v>1</v>
      </c>
      <c r="I9" s="305">
        <v>1</v>
      </c>
      <c r="J9" s="305">
        <v>1</v>
      </c>
      <c r="K9" s="305">
        <v>1</v>
      </c>
      <c r="L9" s="305">
        <v>0</v>
      </c>
      <c r="M9" s="305">
        <v>0</v>
      </c>
      <c r="N9" s="305">
        <v>0</v>
      </c>
      <c r="O9" s="305">
        <v>0</v>
      </c>
      <c r="P9" s="305">
        <v>1</v>
      </c>
      <c r="R9" s="305">
        <v>1</v>
      </c>
      <c r="S9" s="305">
        <v>0</v>
      </c>
      <c r="T9" s="305">
        <v>0</v>
      </c>
      <c r="U9" s="305">
        <v>0</v>
      </c>
      <c r="V9" s="305">
        <v>0</v>
      </c>
      <c r="W9" s="305">
        <v>0</v>
      </c>
      <c r="X9" s="305">
        <v>0</v>
      </c>
      <c r="Z9" s="305">
        <v>0</v>
      </c>
      <c r="AA9" s="305">
        <v>0</v>
      </c>
      <c r="AB9" s="305">
        <v>0</v>
      </c>
      <c r="AC9" s="305">
        <v>0</v>
      </c>
      <c r="AD9" s="305">
        <v>0</v>
      </c>
      <c r="AE9" s="305">
        <v>0</v>
      </c>
      <c r="AF9" s="305">
        <v>0</v>
      </c>
      <c r="AG9" s="305">
        <v>0</v>
      </c>
      <c r="AH9" s="305">
        <v>0</v>
      </c>
      <c r="AI9" s="305">
        <v>0</v>
      </c>
      <c r="AJ9" s="305">
        <v>0</v>
      </c>
      <c r="AK9" s="305">
        <v>0</v>
      </c>
      <c r="AL9" s="305">
        <v>0</v>
      </c>
      <c r="AM9" s="305">
        <v>0</v>
      </c>
      <c r="AN9" s="305">
        <v>0</v>
      </c>
      <c r="AO9" s="305">
        <v>0</v>
      </c>
      <c r="AP9" s="305">
        <v>0</v>
      </c>
      <c r="AQ9" s="305">
        <v>0</v>
      </c>
      <c r="AR9" s="305">
        <v>0</v>
      </c>
      <c r="AS9" s="305">
        <v>0</v>
      </c>
      <c r="AT9" s="305">
        <v>1</v>
      </c>
      <c r="AU9" s="305">
        <v>1</v>
      </c>
      <c r="AV9" s="305">
        <v>0</v>
      </c>
      <c r="AW9" s="305">
        <v>1</v>
      </c>
      <c r="AX9" s="305">
        <v>1</v>
      </c>
      <c r="AY9" s="305">
        <v>0</v>
      </c>
      <c r="AZ9" s="305">
        <v>1</v>
      </c>
      <c r="BA9" s="305">
        <v>1</v>
      </c>
      <c r="BB9" s="305">
        <v>0</v>
      </c>
      <c r="BC9" s="305">
        <v>1</v>
      </c>
      <c r="BD9" s="305">
        <v>1</v>
      </c>
      <c r="BE9" s="305">
        <v>1</v>
      </c>
      <c r="BF9" s="305">
        <v>1</v>
      </c>
      <c r="BH9" s="305">
        <v>0</v>
      </c>
      <c r="BI9" s="305">
        <v>1</v>
      </c>
      <c r="BJ9" s="305">
        <v>1</v>
      </c>
      <c r="BK9" s="305">
        <v>1</v>
      </c>
      <c r="BL9" s="305">
        <v>1</v>
      </c>
      <c r="BM9" s="305">
        <v>1</v>
      </c>
      <c r="BN9" s="305">
        <v>1</v>
      </c>
      <c r="BO9" s="305">
        <v>1</v>
      </c>
      <c r="BP9" s="305">
        <v>1</v>
      </c>
      <c r="BQ9" s="305">
        <v>1</v>
      </c>
      <c r="BR9" s="305">
        <v>0</v>
      </c>
      <c r="BS9" s="305">
        <v>1</v>
      </c>
    </row>
    <row r="10" spans="1:71" x14ac:dyDescent="0.15">
      <c r="D10" s="287"/>
    </row>
    <row r="11" spans="1:71" x14ac:dyDescent="0.15">
      <c r="F11" s="489" t="s">
        <v>500</v>
      </c>
      <c r="G11" s="489"/>
      <c r="H11" s="489"/>
      <c r="I11" s="489"/>
      <c r="J11" s="489"/>
      <c r="K11" s="489"/>
      <c r="L11" s="489"/>
      <c r="M11" s="489"/>
      <c r="N11" s="489"/>
      <c r="O11" s="489"/>
      <c r="P11" s="489"/>
      <c r="R11" s="480" t="s">
        <v>315</v>
      </c>
      <c r="S11" s="480"/>
      <c r="T11" s="480"/>
      <c r="U11" s="480"/>
      <c r="V11" s="480"/>
      <c r="W11" s="480"/>
      <c r="X11" s="480"/>
      <c r="Y11" s="480"/>
      <c r="Z11" s="480"/>
      <c r="AA11" s="480"/>
      <c r="AB11" s="480"/>
      <c r="AC11" s="480"/>
      <c r="AE11" s="482" t="s">
        <v>578</v>
      </c>
      <c r="AF11" s="482"/>
      <c r="AG11" s="482"/>
      <c r="AH11" s="482"/>
      <c r="AI11" s="482"/>
      <c r="AJ11" s="482"/>
      <c r="AK11" s="482"/>
      <c r="AL11" s="482"/>
      <c r="AM11" s="482"/>
      <c r="AN11" s="482"/>
      <c r="AO11" s="482"/>
      <c r="AP11" s="482"/>
      <c r="AQ11" s="482"/>
      <c r="AR11" s="359"/>
      <c r="AT11" s="486" t="s">
        <v>581</v>
      </c>
      <c r="AU11" s="486"/>
      <c r="AV11" s="486"/>
      <c r="AW11" s="486"/>
      <c r="AX11" s="359"/>
      <c r="AZ11" s="483" t="s">
        <v>582</v>
      </c>
      <c r="BA11" s="484"/>
      <c r="BB11" s="484"/>
      <c r="BC11" s="484"/>
      <c r="BD11" s="485"/>
      <c r="BF11" s="481" t="s">
        <v>375</v>
      </c>
      <c r="BG11" s="481"/>
      <c r="BH11" s="481"/>
      <c r="BI11" s="481"/>
      <c r="BJ11" s="481"/>
      <c r="BK11" s="481"/>
      <c r="BL11" s="481"/>
    </row>
    <row r="12" spans="1:71" x14ac:dyDescent="0.15">
      <c r="A12" s="304" t="s">
        <v>517</v>
      </c>
      <c r="B12" s="304">
        <f>IF(OR(c.stile=0,c.species=0),0,INDEX(vt.sr.species,c.stile,c.species))</f>
        <v>0</v>
      </c>
      <c r="F12" s="304" t="s">
        <v>631</v>
      </c>
      <c r="G12" s="304" t="s">
        <v>632</v>
      </c>
      <c r="H12" s="304" t="s">
        <v>633</v>
      </c>
      <c r="I12" s="304" t="s">
        <v>498</v>
      </c>
      <c r="J12" s="304" t="s">
        <v>585</v>
      </c>
      <c r="K12" s="304" t="s">
        <v>586</v>
      </c>
      <c r="L12" s="304" t="s">
        <v>587</v>
      </c>
      <c r="M12" s="304" t="s">
        <v>588</v>
      </c>
      <c r="N12" s="304" t="s">
        <v>372</v>
      </c>
      <c r="O12" s="304" t="s">
        <v>373</v>
      </c>
      <c r="P12" s="304" t="s">
        <v>374</v>
      </c>
      <c r="R12" s="304" t="s">
        <v>615</v>
      </c>
      <c r="S12" s="304" t="s">
        <v>616</v>
      </c>
      <c r="T12" s="304" t="s">
        <v>617</v>
      </c>
      <c r="U12" s="304" t="s">
        <v>618</v>
      </c>
      <c r="V12" s="304" t="s">
        <v>619</v>
      </c>
      <c r="W12" s="304" t="s">
        <v>620</v>
      </c>
      <c r="X12" s="304" t="s">
        <v>477</v>
      </c>
      <c r="Y12" s="304" t="s">
        <v>310</v>
      </c>
      <c r="Z12" s="304" t="s">
        <v>311</v>
      </c>
      <c r="AA12" s="304" t="s">
        <v>312</v>
      </c>
      <c r="AB12" s="304" t="s">
        <v>313</v>
      </c>
      <c r="AC12" s="304" t="s">
        <v>314</v>
      </c>
      <c r="AE12" s="304" t="s">
        <v>316</v>
      </c>
      <c r="AF12" s="304" t="s">
        <v>317</v>
      </c>
      <c r="AG12" s="304" t="s">
        <v>318</v>
      </c>
      <c r="AH12" s="304" t="s">
        <v>319</v>
      </c>
      <c r="AI12" s="304" t="s">
        <v>351</v>
      </c>
      <c r="AJ12" s="304" t="s">
        <v>352</v>
      </c>
      <c r="AK12" s="304" t="s">
        <v>353</v>
      </c>
      <c r="AL12" s="304" t="s">
        <v>488</v>
      </c>
      <c r="AM12" s="304" t="s">
        <v>489</v>
      </c>
      <c r="AN12" s="304" t="s">
        <v>490</v>
      </c>
      <c r="AO12" s="304" t="s">
        <v>491</v>
      </c>
      <c r="AP12" s="304" t="s">
        <v>492</v>
      </c>
      <c r="AQ12" s="304" t="s">
        <v>336</v>
      </c>
      <c r="AR12" s="304" t="s">
        <v>128</v>
      </c>
      <c r="AT12" s="304" t="s">
        <v>579</v>
      </c>
      <c r="AU12" s="304" t="s">
        <v>224</v>
      </c>
      <c r="AV12" s="304" t="s">
        <v>225</v>
      </c>
      <c r="AW12" s="304" t="s">
        <v>580</v>
      </c>
      <c r="AX12" s="304" t="s">
        <v>128</v>
      </c>
      <c r="AZ12" s="304">
        <v>1</v>
      </c>
      <c r="BA12" s="304">
        <v>4</v>
      </c>
      <c r="BB12" s="304">
        <v>6</v>
      </c>
      <c r="BC12" s="304">
        <v>8</v>
      </c>
      <c r="BD12" s="304">
        <v>9</v>
      </c>
      <c r="BF12" s="304">
        <v>100</v>
      </c>
      <c r="BG12" s="304">
        <v>200</v>
      </c>
      <c r="BH12" s="304">
        <v>300</v>
      </c>
      <c r="BI12" s="304">
        <v>400</v>
      </c>
      <c r="BJ12" s="304">
        <v>500</v>
      </c>
      <c r="BK12" s="304" t="s">
        <v>188</v>
      </c>
      <c r="BL12" s="304" t="s">
        <v>189</v>
      </c>
    </row>
    <row r="13" spans="1:71" x14ac:dyDescent="0.15">
      <c r="A13" s="304" t="s">
        <v>448</v>
      </c>
      <c r="B13" s="304">
        <f>IF(OR(c.stile=0,c.panel=0),0,INDEX(vt.sr.panel,c.stile,c.panel))</f>
        <v>0</v>
      </c>
      <c r="D13" s="487" t="s">
        <v>190</v>
      </c>
      <c r="E13" s="304" t="s">
        <v>255</v>
      </c>
      <c r="F13" s="306">
        <v>1</v>
      </c>
      <c r="G13" s="306">
        <v>1</v>
      </c>
      <c r="H13" s="306">
        <v>1</v>
      </c>
      <c r="I13" s="306">
        <v>1</v>
      </c>
      <c r="J13" s="306">
        <v>1</v>
      </c>
      <c r="K13" s="306">
        <v>1</v>
      </c>
      <c r="L13" s="306">
        <v>1</v>
      </c>
      <c r="M13" s="306">
        <v>1</v>
      </c>
      <c r="N13" s="306">
        <v>1</v>
      </c>
      <c r="O13" s="306">
        <v>1</v>
      </c>
      <c r="P13" s="306">
        <v>1</v>
      </c>
      <c r="Q13" s="92"/>
      <c r="R13" s="306">
        <v>1</v>
      </c>
      <c r="S13" s="306">
        <v>1</v>
      </c>
      <c r="T13" s="306">
        <v>1</v>
      </c>
      <c r="U13" s="306">
        <v>1</v>
      </c>
      <c r="V13" s="306">
        <v>1</v>
      </c>
      <c r="W13" s="306">
        <v>1</v>
      </c>
      <c r="X13" s="306">
        <v>1</v>
      </c>
      <c r="Y13" s="306">
        <v>1</v>
      </c>
      <c r="Z13" s="306">
        <v>1</v>
      </c>
      <c r="AA13" s="306">
        <v>1</v>
      </c>
      <c r="AB13" s="306">
        <v>0</v>
      </c>
      <c r="AC13" s="306">
        <v>1</v>
      </c>
      <c r="AD13" s="92"/>
      <c r="AE13" s="306">
        <v>1</v>
      </c>
      <c r="AF13" s="306">
        <v>1</v>
      </c>
      <c r="AG13" s="306">
        <v>1</v>
      </c>
      <c r="AH13" s="306">
        <v>1</v>
      </c>
      <c r="AI13" s="306">
        <v>1</v>
      </c>
      <c r="AJ13" s="306">
        <v>1</v>
      </c>
      <c r="AK13" s="306">
        <v>1</v>
      </c>
      <c r="AL13" s="306">
        <v>1</v>
      </c>
      <c r="AM13" s="306">
        <v>1</v>
      </c>
      <c r="AN13" s="306">
        <v>1</v>
      </c>
      <c r="AO13" s="306">
        <v>1</v>
      </c>
      <c r="AP13" s="306">
        <v>1</v>
      </c>
      <c r="AQ13" s="306">
        <v>1</v>
      </c>
      <c r="AR13" s="306">
        <v>0</v>
      </c>
      <c r="AT13" s="306">
        <v>1</v>
      </c>
      <c r="AU13" s="306">
        <v>0</v>
      </c>
      <c r="AV13" s="306">
        <v>0</v>
      </c>
      <c r="AW13" s="306">
        <v>0</v>
      </c>
      <c r="AX13" s="306">
        <v>0</v>
      </c>
      <c r="AZ13" s="306">
        <v>1</v>
      </c>
      <c r="BA13" s="306">
        <v>1</v>
      </c>
      <c r="BB13" s="306">
        <v>1</v>
      </c>
      <c r="BC13" s="306">
        <v>1</v>
      </c>
      <c r="BD13" s="306">
        <v>1</v>
      </c>
      <c r="BF13" s="306">
        <v>1</v>
      </c>
      <c r="BG13" s="306">
        <v>1</v>
      </c>
      <c r="BH13" s="306">
        <v>1</v>
      </c>
      <c r="BI13" s="306">
        <v>1</v>
      </c>
      <c r="BJ13" s="306">
        <v>1</v>
      </c>
      <c r="BK13" s="306">
        <v>0</v>
      </c>
      <c r="BL13" s="306">
        <v>0</v>
      </c>
    </row>
    <row r="14" spans="1:71" x14ac:dyDescent="0.15">
      <c r="A14" s="304" t="s">
        <v>449</v>
      </c>
      <c r="B14" s="304">
        <f>IF(OR(c.stile=0,c.edge=0),0,INDEX(vt.sr.edge,c.stile,c.edge))</f>
        <v>0</v>
      </c>
      <c r="D14" s="487"/>
      <c r="E14" s="304" t="s">
        <v>256</v>
      </c>
      <c r="F14" s="306">
        <v>1</v>
      </c>
      <c r="G14" s="306">
        <v>1</v>
      </c>
      <c r="H14" s="306">
        <v>1</v>
      </c>
      <c r="I14" s="306">
        <v>1</v>
      </c>
      <c r="J14" s="306">
        <v>1</v>
      </c>
      <c r="K14" s="306">
        <v>1</v>
      </c>
      <c r="L14" s="306">
        <v>1</v>
      </c>
      <c r="M14" s="306">
        <v>1</v>
      </c>
      <c r="N14" s="306">
        <v>1</v>
      </c>
      <c r="O14" s="306">
        <v>1</v>
      </c>
      <c r="P14" s="306">
        <v>1</v>
      </c>
      <c r="Q14" s="92"/>
      <c r="R14" s="306">
        <v>1</v>
      </c>
      <c r="S14" s="306">
        <v>1</v>
      </c>
      <c r="T14" s="306">
        <v>1</v>
      </c>
      <c r="U14" s="306">
        <v>1</v>
      </c>
      <c r="V14" s="306">
        <v>1</v>
      </c>
      <c r="W14" s="306">
        <v>1</v>
      </c>
      <c r="X14" s="306">
        <v>1</v>
      </c>
      <c r="Y14" s="306">
        <v>1</v>
      </c>
      <c r="Z14" s="306">
        <v>1</v>
      </c>
      <c r="AA14" s="306">
        <v>1</v>
      </c>
      <c r="AB14" s="306">
        <v>0</v>
      </c>
      <c r="AC14" s="306">
        <v>1</v>
      </c>
      <c r="AD14" s="92"/>
      <c r="AE14" s="306">
        <v>1</v>
      </c>
      <c r="AF14" s="306">
        <v>1</v>
      </c>
      <c r="AG14" s="306">
        <v>1</v>
      </c>
      <c r="AH14" s="306">
        <v>1</v>
      </c>
      <c r="AI14" s="306">
        <v>1</v>
      </c>
      <c r="AJ14" s="306">
        <v>1</v>
      </c>
      <c r="AK14" s="306">
        <v>1</v>
      </c>
      <c r="AL14" s="306">
        <v>1</v>
      </c>
      <c r="AM14" s="306">
        <v>1</v>
      </c>
      <c r="AN14" s="306">
        <v>1</v>
      </c>
      <c r="AO14" s="306">
        <v>1</v>
      </c>
      <c r="AP14" s="306">
        <v>1</v>
      </c>
      <c r="AQ14" s="306">
        <v>1</v>
      </c>
      <c r="AR14" s="306">
        <v>0</v>
      </c>
      <c r="AT14" s="306">
        <v>1</v>
      </c>
      <c r="AU14" s="306">
        <v>1</v>
      </c>
      <c r="AV14" s="306">
        <v>1</v>
      </c>
      <c r="AW14" s="306">
        <v>1</v>
      </c>
      <c r="AX14" s="306">
        <v>0</v>
      </c>
      <c r="AZ14" s="306">
        <v>1</v>
      </c>
      <c r="BA14" s="306">
        <v>1</v>
      </c>
      <c r="BB14" s="306">
        <v>1</v>
      </c>
      <c r="BC14" s="306">
        <v>1</v>
      </c>
      <c r="BD14" s="306">
        <v>1</v>
      </c>
      <c r="BF14" s="306">
        <v>0</v>
      </c>
      <c r="BG14" s="306">
        <v>0</v>
      </c>
      <c r="BH14" s="306">
        <v>0</v>
      </c>
      <c r="BI14" s="306">
        <v>0</v>
      </c>
      <c r="BJ14" s="306">
        <v>0</v>
      </c>
      <c r="BK14" s="306">
        <v>1</v>
      </c>
      <c r="BL14" s="306">
        <v>0</v>
      </c>
    </row>
    <row r="15" spans="1:71" x14ac:dyDescent="0.15">
      <c r="A15" s="304" t="s">
        <v>450</v>
      </c>
      <c r="B15" s="304">
        <f>IF(OR(c.stile=0,c.am=0),0,INDEX(vt.sr.am,c.stile,c.am))</f>
        <v>0</v>
      </c>
      <c r="D15" s="487"/>
      <c r="E15" s="304" t="s">
        <v>257</v>
      </c>
      <c r="F15" s="306">
        <v>1</v>
      </c>
      <c r="G15" s="306">
        <v>1</v>
      </c>
      <c r="H15" s="306">
        <v>1</v>
      </c>
      <c r="I15" s="306">
        <v>1</v>
      </c>
      <c r="J15" s="306">
        <v>1</v>
      </c>
      <c r="K15" s="306">
        <v>1</v>
      </c>
      <c r="L15" s="306">
        <v>1</v>
      </c>
      <c r="M15" s="306">
        <v>1</v>
      </c>
      <c r="N15" s="306">
        <v>1</v>
      </c>
      <c r="O15" s="306">
        <v>1</v>
      </c>
      <c r="P15" s="306">
        <v>1</v>
      </c>
      <c r="Q15" s="92"/>
      <c r="R15" s="306">
        <v>1</v>
      </c>
      <c r="S15" s="306">
        <v>1</v>
      </c>
      <c r="T15" s="306">
        <v>1</v>
      </c>
      <c r="U15" s="306">
        <v>1</v>
      </c>
      <c r="V15" s="306">
        <v>1</v>
      </c>
      <c r="W15" s="306">
        <v>1</v>
      </c>
      <c r="X15" s="306">
        <v>1</v>
      </c>
      <c r="Y15" s="306">
        <v>1</v>
      </c>
      <c r="Z15" s="306">
        <v>1</v>
      </c>
      <c r="AA15" s="306">
        <v>1</v>
      </c>
      <c r="AB15" s="306">
        <v>0</v>
      </c>
      <c r="AC15" s="306">
        <v>1</v>
      </c>
      <c r="AD15" s="92"/>
      <c r="AE15" s="306">
        <v>1</v>
      </c>
      <c r="AF15" s="306">
        <v>1</v>
      </c>
      <c r="AG15" s="306">
        <v>1</v>
      </c>
      <c r="AH15" s="306">
        <v>1</v>
      </c>
      <c r="AI15" s="306">
        <v>1</v>
      </c>
      <c r="AJ15" s="306">
        <v>1</v>
      </c>
      <c r="AK15" s="306">
        <v>1</v>
      </c>
      <c r="AL15" s="306">
        <v>1</v>
      </c>
      <c r="AM15" s="306">
        <v>1</v>
      </c>
      <c r="AN15" s="306">
        <v>1</v>
      </c>
      <c r="AO15" s="306">
        <v>1</v>
      </c>
      <c r="AP15" s="306">
        <v>1</v>
      </c>
      <c r="AQ15" s="306">
        <v>1</v>
      </c>
      <c r="AR15" s="306">
        <v>0</v>
      </c>
      <c r="AT15" s="306">
        <v>0</v>
      </c>
      <c r="AU15" s="306">
        <v>0</v>
      </c>
      <c r="AV15" s="306">
        <v>0</v>
      </c>
      <c r="AW15" s="306">
        <v>0</v>
      </c>
      <c r="AX15" s="306">
        <v>1</v>
      </c>
      <c r="AZ15" s="306">
        <v>1</v>
      </c>
      <c r="BA15" s="306">
        <v>1</v>
      </c>
      <c r="BB15" s="306">
        <v>1</v>
      </c>
      <c r="BC15" s="306">
        <v>1</v>
      </c>
      <c r="BD15" s="306">
        <v>1</v>
      </c>
      <c r="BF15" s="306">
        <v>0</v>
      </c>
      <c r="BG15" s="306">
        <v>0</v>
      </c>
      <c r="BH15" s="306">
        <v>0</v>
      </c>
      <c r="BI15" s="306">
        <v>0</v>
      </c>
      <c r="BJ15" s="306">
        <v>0</v>
      </c>
      <c r="BK15" s="306">
        <v>0</v>
      </c>
      <c r="BL15" s="306">
        <v>1</v>
      </c>
    </row>
    <row r="16" spans="1:71" x14ac:dyDescent="0.15">
      <c r="D16" s="487"/>
      <c r="E16" s="304" t="s">
        <v>258</v>
      </c>
      <c r="F16" s="306">
        <v>1</v>
      </c>
      <c r="G16" s="306">
        <v>1</v>
      </c>
      <c r="H16" s="306">
        <v>1</v>
      </c>
      <c r="I16" s="306">
        <v>1</v>
      </c>
      <c r="J16" s="306">
        <v>1</v>
      </c>
      <c r="K16" s="306">
        <v>1</v>
      </c>
      <c r="L16" s="306">
        <v>1</v>
      </c>
      <c r="M16" s="306">
        <v>1</v>
      </c>
      <c r="N16" s="306">
        <v>1</v>
      </c>
      <c r="O16" s="306">
        <v>1</v>
      </c>
      <c r="P16" s="306">
        <v>1</v>
      </c>
      <c r="Q16" s="92"/>
      <c r="R16" s="306">
        <v>1</v>
      </c>
      <c r="S16" s="306">
        <v>1</v>
      </c>
      <c r="T16" s="306">
        <v>1</v>
      </c>
      <c r="U16" s="306">
        <v>1</v>
      </c>
      <c r="V16" s="306">
        <v>1</v>
      </c>
      <c r="W16" s="306">
        <v>1</v>
      </c>
      <c r="X16" s="306">
        <v>1</v>
      </c>
      <c r="Y16" s="306">
        <v>1</v>
      </c>
      <c r="Z16" s="306">
        <v>1</v>
      </c>
      <c r="AA16" s="306">
        <v>1</v>
      </c>
      <c r="AB16" s="306">
        <v>0</v>
      </c>
      <c r="AC16" s="306">
        <v>1</v>
      </c>
      <c r="AD16" s="92"/>
      <c r="AE16" s="306">
        <v>1</v>
      </c>
      <c r="AF16" s="306">
        <v>1</v>
      </c>
      <c r="AG16" s="306">
        <v>1</v>
      </c>
      <c r="AH16" s="306">
        <v>1</v>
      </c>
      <c r="AI16" s="306">
        <v>1</v>
      </c>
      <c r="AJ16" s="306">
        <v>1</v>
      </c>
      <c r="AK16" s="306">
        <v>1</v>
      </c>
      <c r="AL16" s="306">
        <v>1</v>
      </c>
      <c r="AM16" s="306">
        <v>1</v>
      </c>
      <c r="AN16" s="306">
        <v>1</v>
      </c>
      <c r="AO16" s="306">
        <v>1</v>
      </c>
      <c r="AP16" s="306">
        <v>1</v>
      </c>
      <c r="AQ16" s="306">
        <v>1</v>
      </c>
      <c r="AR16" s="306">
        <v>0</v>
      </c>
      <c r="AT16" s="306">
        <v>1</v>
      </c>
      <c r="AU16" s="306">
        <v>0</v>
      </c>
      <c r="AV16" s="306">
        <v>0</v>
      </c>
      <c r="AW16" s="306">
        <v>0</v>
      </c>
      <c r="AX16" s="306">
        <v>0</v>
      </c>
      <c r="AZ16" s="306">
        <v>1</v>
      </c>
      <c r="BA16" s="306">
        <v>1</v>
      </c>
      <c r="BB16" s="306">
        <v>1</v>
      </c>
      <c r="BC16" s="306">
        <v>1</v>
      </c>
      <c r="BD16" s="306">
        <v>1</v>
      </c>
      <c r="BF16" s="306">
        <v>1</v>
      </c>
      <c r="BG16" s="306">
        <v>0</v>
      </c>
      <c r="BH16" s="306">
        <v>0</v>
      </c>
      <c r="BI16" s="306">
        <v>0</v>
      </c>
      <c r="BJ16" s="306">
        <v>0</v>
      </c>
      <c r="BK16" s="306">
        <v>0</v>
      </c>
      <c r="BL16" s="306">
        <v>0</v>
      </c>
    </row>
    <row r="17" spans="1:64" x14ac:dyDescent="0.15">
      <c r="A17" s="304" t="s">
        <v>473</v>
      </c>
      <c r="B17" s="304">
        <f>IF(OR(c.stile=0,c.design.upper=0),0,INDEX(vt.sr.design,c.stile,c.design.upper))</f>
        <v>0</v>
      </c>
      <c r="D17" s="487"/>
      <c r="E17" s="304" t="s">
        <v>259</v>
      </c>
      <c r="F17" s="306">
        <v>1</v>
      </c>
      <c r="G17" s="306">
        <v>1</v>
      </c>
      <c r="H17" s="306">
        <v>1</v>
      </c>
      <c r="I17" s="306">
        <v>1</v>
      </c>
      <c r="J17" s="306">
        <v>1</v>
      </c>
      <c r="K17" s="306">
        <v>1</v>
      </c>
      <c r="L17" s="306">
        <v>1</v>
      </c>
      <c r="M17" s="306">
        <v>1</v>
      </c>
      <c r="N17" s="306">
        <v>1</v>
      </c>
      <c r="O17" s="306">
        <v>1</v>
      </c>
      <c r="P17" s="306">
        <v>1</v>
      </c>
      <c r="Q17" s="92"/>
      <c r="R17" s="306">
        <v>1</v>
      </c>
      <c r="S17" s="306">
        <v>1</v>
      </c>
      <c r="T17" s="306">
        <v>1</v>
      </c>
      <c r="U17" s="306">
        <v>1</v>
      </c>
      <c r="V17" s="306">
        <v>1</v>
      </c>
      <c r="W17" s="306">
        <v>1</v>
      </c>
      <c r="X17" s="306">
        <v>1</v>
      </c>
      <c r="Y17" s="306">
        <v>1</v>
      </c>
      <c r="Z17" s="306">
        <v>1</v>
      </c>
      <c r="AA17" s="306">
        <v>1</v>
      </c>
      <c r="AB17" s="306">
        <v>0</v>
      </c>
      <c r="AC17" s="306">
        <v>1</v>
      </c>
      <c r="AD17" s="92"/>
      <c r="AE17" s="306">
        <v>1</v>
      </c>
      <c r="AF17" s="306">
        <v>1</v>
      </c>
      <c r="AG17" s="306">
        <v>1</v>
      </c>
      <c r="AH17" s="306">
        <v>1</v>
      </c>
      <c r="AI17" s="306">
        <v>1</v>
      </c>
      <c r="AJ17" s="306">
        <v>1</v>
      </c>
      <c r="AK17" s="306">
        <v>1</v>
      </c>
      <c r="AL17" s="306">
        <v>1</v>
      </c>
      <c r="AM17" s="306">
        <v>1</v>
      </c>
      <c r="AN17" s="306">
        <v>1</v>
      </c>
      <c r="AO17" s="306">
        <v>1</v>
      </c>
      <c r="AP17" s="306">
        <v>1</v>
      </c>
      <c r="AQ17" s="306">
        <v>1</v>
      </c>
      <c r="AR17" s="306">
        <v>0</v>
      </c>
      <c r="AT17" s="306">
        <v>1</v>
      </c>
      <c r="AU17" s="306">
        <v>1</v>
      </c>
      <c r="AV17" s="306">
        <v>1</v>
      </c>
      <c r="AW17" s="306">
        <v>1</v>
      </c>
      <c r="AX17" s="306">
        <v>0</v>
      </c>
      <c r="AZ17" s="306">
        <v>1</v>
      </c>
      <c r="BA17" s="306">
        <v>1</v>
      </c>
      <c r="BB17" s="306">
        <v>1</v>
      </c>
      <c r="BC17" s="306">
        <v>1</v>
      </c>
      <c r="BD17" s="306">
        <v>1</v>
      </c>
      <c r="BF17" s="306">
        <v>0</v>
      </c>
      <c r="BG17" s="306">
        <v>0</v>
      </c>
      <c r="BH17" s="306">
        <v>0</v>
      </c>
      <c r="BI17" s="306">
        <v>0</v>
      </c>
      <c r="BJ17" s="306">
        <v>0</v>
      </c>
      <c r="BK17" s="306">
        <v>1</v>
      </c>
      <c r="BL17" s="306">
        <v>0</v>
      </c>
    </row>
    <row r="18" spans="1:64" x14ac:dyDescent="0.15">
      <c r="A18" s="304" t="s">
        <v>474</v>
      </c>
      <c r="B18" s="304">
        <f>IF(OR(c.stile=0,c.design.base=0),0,INDEX(vt.sr.design,c.stile,c.design.base))</f>
        <v>0</v>
      </c>
      <c r="D18" s="487"/>
      <c r="E18" s="304" t="s">
        <v>197</v>
      </c>
      <c r="F18" s="306">
        <v>1</v>
      </c>
      <c r="G18" s="306">
        <v>1</v>
      </c>
      <c r="H18" s="306">
        <v>1</v>
      </c>
      <c r="I18" s="306">
        <v>1</v>
      </c>
      <c r="J18" s="306">
        <v>1</v>
      </c>
      <c r="K18" s="306">
        <v>1</v>
      </c>
      <c r="L18" s="306">
        <v>1</v>
      </c>
      <c r="M18" s="306">
        <v>1</v>
      </c>
      <c r="N18" s="306">
        <v>1</v>
      </c>
      <c r="O18" s="306">
        <v>1</v>
      </c>
      <c r="P18" s="306">
        <v>1</v>
      </c>
      <c r="Q18" s="92"/>
      <c r="R18" s="306">
        <v>1</v>
      </c>
      <c r="S18" s="306">
        <v>1</v>
      </c>
      <c r="T18" s="306">
        <v>1</v>
      </c>
      <c r="U18" s="306">
        <v>1</v>
      </c>
      <c r="V18" s="306">
        <v>1</v>
      </c>
      <c r="W18" s="306">
        <v>1</v>
      </c>
      <c r="X18" s="306">
        <v>1</v>
      </c>
      <c r="Y18" s="306">
        <v>1</v>
      </c>
      <c r="Z18" s="306">
        <v>1</v>
      </c>
      <c r="AA18" s="306">
        <v>1</v>
      </c>
      <c r="AB18" s="306">
        <v>0</v>
      </c>
      <c r="AC18" s="306">
        <v>1</v>
      </c>
      <c r="AD18" s="92"/>
      <c r="AE18" s="306">
        <v>1</v>
      </c>
      <c r="AF18" s="306">
        <v>1</v>
      </c>
      <c r="AG18" s="306">
        <v>1</v>
      </c>
      <c r="AH18" s="306">
        <v>1</v>
      </c>
      <c r="AI18" s="306">
        <v>1</v>
      </c>
      <c r="AJ18" s="306">
        <v>1</v>
      </c>
      <c r="AK18" s="306">
        <v>1</v>
      </c>
      <c r="AL18" s="306">
        <v>1</v>
      </c>
      <c r="AM18" s="306">
        <v>1</v>
      </c>
      <c r="AN18" s="306">
        <v>1</v>
      </c>
      <c r="AO18" s="306">
        <v>1</v>
      </c>
      <c r="AP18" s="306">
        <v>1</v>
      </c>
      <c r="AQ18" s="306">
        <v>1</v>
      </c>
      <c r="AR18" s="306">
        <v>0</v>
      </c>
      <c r="AT18" s="306">
        <v>0</v>
      </c>
      <c r="AU18" s="306">
        <v>0</v>
      </c>
      <c r="AV18" s="306">
        <v>0</v>
      </c>
      <c r="AW18" s="306">
        <v>0</v>
      </c>
      <c r="AX18" s="306">
        <v>1</v>
      </c>
      <c r="AZ18" s="306">
        <v>1</v>
      </c>
      <c r="BA18" s="306">
        <v>1</v>
      </c>
      <c r="BB18" s="306">
        <v>1</v>
      </c>
      <c r="BC18" s="306">
        <v>1</v>
      </c>
      <c r="BD18" s="306">
        <v>1</v>
      </c>
      <c r="BF18" s="306">
        <v>0</v>
      </c>
      <c r="BG18" s="306">
        <v>0</v>
      </c>
      <c r="BH18" s="306">
        <v>0</v>
      </c>
      <c r="BI18" s="306">
        <v>0</v>
      </c>
      <c r="BJ18" s="306">
        <v>0</v>
      </c>
      <c r="BK18" s="306">
        <v>0</v>
      </c>
      <c r="BL18" s="306">
        <v>1</v>
      </c>
    </row>
    <row r="19" spans="1:64" x14ac:dyDescent="0.15">
      <c r="D19" s="487"/>
      <c r="E19" s="304" t="s">
        <v>260</v>
      </c>
      <c r="F19" s="306">
        <v>1</v>
      </c>
      <c r="G19" s="306">
        <v>1</v>
      </c>
      <c r="H19" s="306">
        <v>1</v>
      </c>
      <c r="I19" s="306">
        <v>1</v>
      </c>
      <c r="J19" s="306">
        <v>1</v>
      </c>
      <c r="K19" s="306">
        <v>1</v>
      </c>
      <c r="L19" s="306">
        <v>1</v>
      </c>
      <c r="M19" s="306">
        <v>1</v>
      </c>
      <c r="N19" s="306">
        <v>1</v>
      </c>
      <c r="O19" s="306">
        <v>1</v>
      </c>
      <c r="P19" s="306">
        <v>1</v>
      </c>
      <c r="Q19" s="92"/>
      <c r="R19" s="306">
        <v>1</v>
      </c>
      <c r="S19" s="306">
        <v>1</v>
      </c>
      <c r="T19" s="306">
        <v>1</v>
      </c>
      <c r="U19" s="306">
        <v>1</v>
      </c>
      <c r="V19" s="306">
        <v>1</v>
      </c>
      <c r="W19" s="306">
        <v>1</v>
      </c>
      <c r="X19" s="306">
        <v>1</v>
      </c>
      <c r="Y19" s="306">
        <v>1</v>
      </c>
      <c r="Z19" s="306">
        <v>1</v>
      </c>
      <c r="AA19" s="306">
        <v>1</v>
      </c>
      <c r="AB19" s="306">
        <v>0</v>
      </c>
      <c r="AC19" s="306">
        <v>1</v>
      </c>
      <c r="AD19" s="92"/>
      <c r="AE19" s="306">
        <v>1</v>
      </c>
      <c r="AF19" s="306">
        <v>1</v>
      </c>
      <c r="AG19" s="306">
        <v>1</v>
      </c>
      <c r="AH19" s="306">
        <v>1</v>
      </c>
      <c r="AI19" s="306">
        <v>1</v>
      </c>
      <c r="AJ19" s="306">
        <v>1</v>
      </c>
      <c r="AK19" s="306">
        <v>1</v>
      </c>
      <c r="AL19" s="306">
        <v>1</v>
      </c>
      <c r="AM19" s="306">
        <v>1</v>
      </c>
      <c r="AN19" s="306">
        <v>1</v>
      </c>
      <c r="AO19" s="306">
        <v>1</v>
      </c>
      <c r="AP19" s="306">
        <v>1</v>
      </c>
      <c r="AQ19" s="306">
        <v>1</v>
      </c>
      <c r="AR19" s="306">
        <v>0</v>
      </c>
      <c r="AT19" s="306">
        <v>0</v>
      </c>
      <c r="AU19" s="306">
        <v>0</v>
      </c>
      <c r="AV19" s="306">
        <v>0</v>
      </c>
      <c r="AW19" s="306">
        <v>0</v>
      </c>
      <c r="AX19" s="306">
        <v>1</v>
      </c>
      <c r="AZ19" s="306">
        <v>1</v>
      </c>
      <c r="BA19" s="306">
        <v>1</v>
      </c>
      <c r="BB19" s="306">
        <v>1</v>
      </c>
      <c r="BC19" s="306">
        <v>1</v>
      </c>
      <c r="BD19" s="306">
        <v>1</v>
      </c>
      <c r="BF19" s="306">
        <v>0</v>
      </c>
      <c r="BG19" s="306">
        <v>0</v>
      </c>
      <c r="BH19" s="306">
        <v>0</v>
      </c>
      <c r="BI19" s="306">
        <v>0</v>
      </c>
      <c r="BJ19" s="306">
        <v>0</v>
      </c>
      <c r="BK19" s="306">
        <v>0</v>
      </c>
      <c r="BL19" s="306">
        <v>1</v>
      </c>
    </row>
    <row r="20" spans="1:64" x14ac:dyDescent="0.15">
      <c r="D20" s="487"/>
      <c r="E20" s="304" t="s">
        <v>198</v>
      </c>
      <c r="F20" s="306">
        <v>1</v>
      </c>
      <c r="G20" s="306">
        <v>1</v>
      </c>
      <c r="H20" s="306">
        <v>1</v>
      </c>
      <c r="I20" s="306">
        <v>1</v>
      </c>
      <c r="J20" s="306">
        <v>1</v>
      </c>
      <c r="K20" s="306">
        <v>1</v>
      </c>
      <c r="L20" s="306">
        <v>1</v>
      </c>
      <c r="M20" s="306">
        <v>1</v>
      </c>
      <c r="N20" s="306">
        <v>1</v>
      </c>
      <c r="O20" s="306">
        <v>1</v>
      </c>
      <c r="P20" s="306">
        <v>1</v>
      </c>
      <c r="Q20" s="92"/>
      <c r="R20" s="306">
        <v>1</v>
      </c>
      <c r="S20" s="306">
        <v>1</v>
      </c>
      <c r="T20" s="306">
        <v>1</v>
      </c>
      <c r="U20" s="306">
        <v>1</v>
      </c>
      <c r="V20" s="306">
        <v>1</v>
      </c>
      <c r="W20" s="306">
        <v>1</v>
      </c>
      <c r="X20" s="306">
        <v>1</v>
      </c>
      <c r="Y20" s="306">
        <v>1</v>
      </c>
      <c r="Z20" s="306">
        <v>1</v>
      </c>
      <c r="AA20" s="306">
        <v>1</v>
      </c>
      <c r="AB20" s="306">
        <v>0</v>
      </c>
      <c r="AC20" s="306">
        <v>1</v>
      </c>
      <c r="AD20" s="92"/>
      <c r="AE20" s="306">
        <v>1</v>
      </c>
      <c r="AF20" s="306">
        <v>1</v>
      </c>
      <c r="AG20" s="306">
        <v>1</v>
      </c>
      <c r="AH20" s="306">
        <v>1</v>
      </c>
      <c r="AI20" s="306">
        <v>1</v>
      </c>
      <c r="AJ20" s="306">
        <v>1</v>
      </c>
      <c r="AK20" s="306">
        <v>1</v>
      </c>
      <c r="AL20" s="306">
        <v>1</v>
      </c>
      <c r="AM20" s="306">
        <v>1</v>
      </c>
      <c r="AN20" s="306">
        <v>1</v>
      </c>
      <c r="AO20" s="306">
        <v>1</v>
      </c>
      <c r="AP20" s="306">
        <v>1</v>
      </c>
      <c r="AQ20" s="306">
        <v>1</v>
      </c>
      <c r="AR20" s="306">
        <v>0</v>
      </c>
      <c r="AT20" s="306">
        <v>0</v>
      </c>
      <c r="AU20" s="306">
        <v>0</v>
      </c>
      <c r="AV20" s="306">
        <v>0</v>
      </c>
      <c r="AW20" s="306">
        <v>0</v>
      </c>
      <c r="AX20" s="306">
        <v>1</v>
      </c>
      <c r="AZ20" s="306">
        <v>1</v>
      </c>
      <c r="BA20" s="306">
        <v>1</v>
      </c>
      <c r="BB20" s="306">
        <v>1</v>
      </c>
      <c r="BC20" s="306">
        <v>1</v>
      </c>
      <c r="BD20" s="306">
        <v>1</v>
      </c>
      <c r="BF20" s="306">
        <v>0</v>
      </c>
      <c r="BG20" s="306">
        <v>0</v>
      </c>
      <c r="BH20" s="306">
        <v>0</v>
      </c>
      <c r="BI20" s="306">
        <v>0</v>
      </c>
      <c r="BJ20" s="306">
        <v>0</v>
      </c>
      <c r="BK20" s="306">
        <v>0</v>
      </c>
      <c r="BL20" s="306">
        <v>1</v>
      </c>
    </row>
    <row r="21" spans="1:64" x14ac:dyDescent="0.15">
      <c r="D21" s="487"/>
      <c r="E21" s="304" t="s">
        <v>261</v>
      </c>
      <c r="F21" s="306">
        <v>1</v>
      </c>
      <c r="G21" s="306">
        <v>1</v>
      </c>
      <c r="H21" s="306">
        <v>1</v>
      </c>
      <c r="I21" s="306">
        <v>1</v>
      </c>
      <c r="J21" s="306">
        <v>1</v>
      </c>
      <c r="K21" s="306">
        <v>1</v>
      </c>
      <c r="L21" s="306">
        <v>0</v>
      </c>
      <c r="M21" s="306">
        <v>0</v>
      </c>
      <c r="N21" s="306">
        <v>0</v>
      </c>
      <c r="O21" s="306">
        <v>1</v>
      </c>
      <c r="P21" s="306">
        <v>1</v>
      </c>
      <c r="Q21" s="92"/>
      <c r="R21" s="306">
        <v>1</v>
      </c>
      <c r="S21" s="306">
        <v>1</v>
      </c>
      <c r="T21" s="306">
        <v>1</v>
      </c>
      <c r="U21" s="306">
        <v>1</v>
      </c>
      <c r="V21" s="306">
        <v>1</v>
      </c>
      <c r="W21" s="306">
        <v>1</v>
      </c>
      <c r="X21" s="306">
        <v>1</v>
      </c>
      <c r="Y21" s="306">
        <v>1</v>
      </c>
      <c r="Z21" s="306">
        <v>1</v>
      </c>
      <c r="AA21" s="306">
        <v>1</v>
      </c>
      <c r="AB21" s="306">
        <v>0</v>
      </c>
      <c r="AC21" s="306">
        <v>1</v>
      </c>
      <c r="AD21" s="92"/>
      <c r="AE21" s="306">
        <v>1</v>
      </c>
      <c r="AF21" s="306">
        <v>1</v>
      </c>
      <c r="AG21" s="306">
        <v>1</v>
      </c>
      <c r="AH21" s="306">
        <v>1</v>
      </c>
      <c r="AI21" s="306">
        <v>1</v>
      </c>
      <c r="AJ21" s="306">
        <v>1</v>
      </c>
      <c r="AK21" s="306">
        <v>1</v>
      </c>
      <c r="AL21" s="306">
        <v>1</v>
      </c>
      <c r="AM21" s="306">
        <v>1</v>
      </c>
      <c r="AN21" s="306">
        <v>1</v>
      </c>
      <c r="AO21" s="306">
        <v>1</v>
      </c>
      <c r="AP21" s="306">
        <v>1</v>
      </c>
      <c r="AQ21" s="306">
        <v>1</v>
      </c>
      <c r="AR21" s="306">
        <v>0</v>
      </c>
      <c r="AT21" s="306">
        <v>1</v>
      </c>
      <c r="AU21" s="306">
        <v>0</v>
      </c>
      <c r="AV21" s="306">
        <v>0</v>
      </c>
      <c r="AW21" s="306">
        <v>0</v>
      </c>
      <c r="AX21" s="306">
        <v>0</v>
      </c>
      <c r="AZ21" s="306">
        <v>1</v>
      </c>
      <c r="BA21" s="306">
        <v>1</v>
      </c>
      <c r="BB21" s="306">
        <v>1</v>
      </c>
      <c r="BC21" s="306">
        <v>1</v>
      </c>
      <c r="BD21" s="306">
        <v>1</v>
      </c>
      <c r="BF21" s="306">
        <v>1</v>
      </c>
      <c r="BG21" s="306">
        <v>1</v>
      </c>
      <c r="BH21" s="306">
        <v>1</v>
      </c>
      <c r="BI21" s="306">
        <v>1</v>
      </c>
      <c r="BJ21" s="306">
        <v>1</v>
      </c>
      <c r="BK21" s="306">
        <v>0</v>
      </c>
      <c r="BL21" s="306">
        <v>0</v>
      </c>
    </row>
    <row r="22" spans="1:64" x14ac:dyDescent="0.15">
      <c r="D22" s="487"/>
      <c r="E22" s="304" t="s">
        <v>438</v>
      </c>
      <c r="F22" s="306">
        <v>1</v>
      </c>
      <c r="G22" s="306">
        <v>1</v>
      </c>
      <c r="H22" s="306">
        <v>1</v>
      </c>
      <c r="I22" s="306">
        <v>1</v>
      </c>
      <c r="J22" s="306">
        <v>1</v>
      </c>
      <c r="K22" s="306">
        <v>1</v>
      </c>
      <c r="L22" s="306">
        <v>0</v>
      </c>
      <c r="M22" s="306">
        <v>0</v>
      </c>
      <c r="N22" s="306">
        <v>0</v>
      </c>
      <c r="O22" s="306">
        <v>1</v>
      </c>
      <c r="P22" s="306">
        <v>0</v>
      </c>
      <c r="Q22" s="92"/>
      <c r="R22" s="306">
        <v>1</v>
      </c>
      <c r="S22" s="306">
        <v>1</v>
      </c>
      <c r="T22" s="306">
        <v>1</v>
      </c>
      <c r="U22" s="306">
        <v>1</v>
      </c>
      <c r="V22" s="306">
        <v>1</v>
      </c>
      <c r="W22" s="306">
        <v>1</v>
      </c>
      <c r="X22" s="306">
        <v>1</v>
      </c>
      <c r="Y22" s="306">
        <v>1</v>
      </c>
      <c r="Z22" s="306">
        <v>1</v>
      </c>
      <c r="AA22" s="306">
        <v>1</v>
      </c>
      <c r="AB22" s="306">
        <v>0</v>
      </c>
      <c r="AC22" s="306">
        <v>1</v>
      </c>
      <c r="AD22" s="92"/>
      <c r="AE22" s="306">
        <v>1</v>
      </c>
      <c r="AF22" s="306">
        <v>1</v>
      </c>
      <c r="AG22" s="306">
        <v>1</v>
      </c>
      <c r="AH22" s="306">
        <v>1</v>
      </c>
      <c r="AI22" s="306">
        <v>1</v>
      </c>
      <c r="AJ22" s="306">
        <v>1</v>
      </c>
      <c r="AK22" s="306">
        <v>1</v>
      </c>
      <c r="AL22" s="306">
        <v>1</v>
      </c>
      <c r="AM22" s="306">
        <v>1</v>
      </c>
      <c r="AN22" s="306">
        <v>1</v>
      </c>
      <c r="AO22" s="306">
        <v>1</v>
      </c>
      <c r="AP22" s="306">
        <v>1</v>
      </c>
      <c r="AQ22" s="306">
        <v>1</v>
      </c>
      <c r="AR22" s="306">
        <v>0</v>
      </c>
      <c r="AT22" s="306">
        <v>1</v>
      </c>
      <c r="AU22" s="306">
        <v>0</v>
      </c>
      <c r="AV22" s="306">
        <v>0</v>
      </c>
      <c r="AW22" s="306">
        <v>0</v>
      </c>
      <c r="AX22" s="306">
        <v>0</v>
      </c>
      <c r="AZ22" s="306">
        <v>1</v>
      </c>
      <c r="BA22" s="306">
        <v>1</v>
      </c>
      <c r="BB22" s="306">
        <v>1</v>
      </c>
      <c r="BC22" s="306">
        <v>1</v>
      </c>
      <c r="BD22" s="306">
        <v>1</v>
      </c>
      <c r="BF22" s="306">
        <v>1</v>
      </c>
      <c r="BG22" s="306">
        <v>0</v>
      </c>
      <c r="BH22" s="306">
        <v>0</v>
      </c>
      <c r="BI22" s="306">
        <v>0</v>
      </c>
      <c r="BJ22" s="306">
        <v>0</v>
      </c>
      <c r="BK22" s="306">
        <v>0</v>
      </c>
      <c r="BL22" s="306">
        <v>0</v>
      </c>
    </row>
    <row r="23" spans="1:64" x14ac:dyDescent="0.15">
      <c r="D23" s="487"/>
      <c r="E23" s="304" t="s">
        <v>524</v>
      </c>
      <c r="F23" s="306">
        <v>1</v>
      </c>
      <c r="G23" s="306">
        <v>1</v>
      </c>
      <c r="H23" s="306">
        <v>1</v>
      </c>
      <c r="I23" s="306">
        <v>1</v>
      </c>
      <c r="J23" s="306">
        <v>1</v>
      </c>
      <c r="K23" s="306">
        <v>1</v>
      </c>
      <c r="L23" s="306">
        <v>0</v>
      </c>
      <c r="M23" s="306">
        <v>1</v>
      </c>
      <c r="N23" s="306">
        <v>1</v>
      </c>
      <c r="O23" s="306">
        <v>1</v>
      </c>
      <c r="P23" s="306">
        <v>1</v>
      </c>
      <c r="Q23" s="92"/>
      <c r="R23" s="306">
        <v>1</v>
      </c>
      <c r="S23" s="306">
        <v>1</v>
      </c>
      <c r="T23" s="306">
        <v>1</v>
      </c>
      <c r="U23" s="306">
        <v>1</v>
      </c>
      <c r="V23" s="306">
        <v>1</v>
      </c>
      <c r="W23" s="306">
        <v>1</v>
      </c>
      <c r="X23" s="306">
        <v>1</v>
      </c>
      <c r="Y23" s="306">
        <v>1</v>
      </c>
      <c r="Z23" s="306">
        <v>1</v>
      </c>
      <c r="AA23" s="306">
        <v>1</v>
      </c>
      <c r="AB23" s="306">
        <v>0</v>
      </c>
      <c r="AC23" s="306">
        <v>1</v>
      </c>
      <c r="AD23" s="92"/>
      <c r="AE23" s="306">
        <v>1</v>
      </c>
      <c r="AF23" s="306">
        <v>1</v>
      </c>
      <c r="AG23" s="306">
        <v>1</v>
      </c>
      <c r="AH23" s="306">
        <v>1</v>
      </c>
      <c r="AI23" s="306">
        <v>1</v>
      </c>
      <c r="AJ23" s="306">
        <v>1</v>
      </c>
      <c r="AK23" s="306">
        <v>1</v>
      </c>
      <c r="AL23" s="306">
        <v>1</v>
      </c>
      <c r="AM23" s="306">
        <v>1</v>
      </c>
      <c r="AN23" s="306">
        <v>1</v>
      </c>
      <c r="AO23" s="306">
        <v>1</v>
      </c>
      <c r="AP23" s="306">
        <v>1</v>
      </c>
      <c r="AQ23" s="306">
        <v>1</v>
      </c>
      <c r="AR23" s="306">
        <v>0</v>
      </c>
      <c r="AT23" s="306">
        <v>1</v>
      </c>
      <c r="AU23" s="306">
        <v>0</v>
      </c>
      <c r="AV23" s="306">
        <v>0</v>
      </c>
      <c r="AW23" s="306">
        <v>0</v>
      </c>
      <c r="AX23" s="306">
        <v>0</v>
      </c>
      <c r="AZ23" s="306">
        <v>1</v>
      </c>
      <c r="BA23" s="306">
        <v>1</v>
      </c>
      <c r="BB23" s="306">
        <v>1</v>
      </c>
      <c r="BC23" s="306">
        <v>1</v>
      </c>
      <c r="BD23" s="306">
        <v>1</v>
      </c>
      <c r="BF23" s="306">
        <v>1</v>
      </c>
      <c r="BG23" s="306">
        <v>1</v>
      </c>
      <c r="BH23" s="306">
        <v>1</v>
      </c>
      <c r="BI23" s="306">
        <v>1</v>
      </c>
      <c r="BJ23" s="306">
        <v>1</v>
      </c>
      <c r="BK23" s="306">
        <v>0</v>
      </c>
      <c r="BL23" s="306">
        <v>0</v>
      </c>
    </row>
    <row r="24" spans="1:64" x14ac:dyDescent="0.15">
      <c r="D24" s="487"/>
      <c r="E24" s="304" t="s">
        <v>525</v>
      </c>
      <c r="F24" s="306">
        <v>1</v>
      </c>
      <c r="G24" s="306">
        <v>1</v>
      </c>
      <c r="H24" s="306">
        <v>1</v>
      </c>
      <c r="I24" s="306">
        <v>1</v>
      </c>
      <c r="J24" s="306">
        <v>1</v>
      </c>
      <c r="K24" s="306">
        <v>1</v>
      </c>
      <c r="L24" s="306">
        <v>0</v>
      </c>
      <c r="M24" s="306">
        <v>1</v>
      </c>
      <c r="N24" s="306">
        <v>1</v>
      </c>
      <c r="O24" s="306">
        <v>1</v>
      </c>
      <c r="P24" s="306">
        <v>1</v>
      </c>
      <c r="Q24" s="92"/>
      <c r="R24" s="306">
        <v>1</v>
      </c>
      <c r="S24" s="306">
        <v>1</v>
      </c>
      <c r="T24" s="306">
        <v>1</v>
      </c>
      <c r="U24" s="306">
        <v>1</v>
      </c>
      <c r="V24" s="306">
        <v>1</v>
      </c>
      <c r="W24" s="306">
        <v>1</v>
      </c>
      <c r="X24" s="306">
        <v>1</v>
      </c>
      <c r="Y24" s="306">
        <v>1</v>
      </c>
      <c r="Z24" s="306">
        <v>1</v>
      </c>
      <c r="AA24" s="306">
        <v>1</v>
      </c>
      <c r="AB24" s="306">
        <v>0</v>
      </c>
      <c r="AC24" s="306">
        <v>1</v>
      </c>
      <c r="AD24" s="92"/>
      <c r="AE24" s="306">
        <v>1</v>
      </c>
      <c r="AF24" s="306">
        <v>1</v>
      </c>
      <c r="AG24" s="306">
        <v>1</v>
      </c>
      <c r="AH24" s="306">
        <v>1</v>
      </c>
      <c r="AI24" s="306">
        <v>1</v>
      </c>
      <c r="AJ24" s="306">
        <v>1</v>
      </c>
      <c r="AK24" s="306">
        <v>1</v>
      </c>
      <c r="AL24" s="306">
        <v>1</v>
      </c>
      <c r="AM24" s="306">
        <v>1</v>
      </c>
      <c r="AN24" s="306">
        <v>1</v>
      </c>
      <c r="AO24" s="306">
        <v>1</v>
      </c>
      <c r="AP24" s="306">
        <v>1</v>
      </c>
      <c r="AQ24" s="306">
        <v>1</v>
      </c>
      <c r="AR24" s="306">
        <v>0</v>
      </c>
      <c r="AT24" s="306">
        <v>1</v>
      </c>
      <c r="AU24" s="306">
        <v>0</v>
      </c>
      <c r="AV24" s="306">
        <v>0</v>
      </c>
      <c r="AW24" s="306">
        <v>0</v>
      </c>
      <c r="AX24" s="306">
        <v>0</v>
      </c>
      <c r="AZ24" s="306">
        <v>1</v>
      </c>
      <c r="BA24" s="306">
        <v>1</v>
      </c>
      <c r="BB24" s="306">
        <v>1</v>
      </c>
      <c r="BC24" s="306">
        <v>1</v>
      </c>
      <c r="BD24" s="306">
        <v>1</v>
      </c>
      <c r="BF24" s="306">
        <v>1</v>
      </c>
      <c r="BG24" s="306">
        <v>0</v>
      </c>
      <c r="BH24" s="306">
        <v>0</v>
      </c>
      <c r="BI24" s="306">
        <v>0</v>
      </c>
      <c r="BJ24" s="306">
        <v>0</v>
      </c>
      <c r="BK24" s="306">
        <v>0</v>
      </c>
      <c r="BL24" s="306">
        <v>0</v>
      </c>
    </row>
    <row r="25" spans="1:64" x14ac:dyDescent="0.15">
      <c r="D25" s="487"/>
      <c r="E25" s="304" t="s">
        <v>526</v>
      </c>
      <c r="F25" s="306">
        <v>1</v>
      </c>
      <c r="G25" s="306">
        <v>1</v>
      </c>
      <c r="H25" s="306">
        <v>1</v>
      </c>
      <c r="I25" s="306">
        <v>1</v>
      </c>
      <c r="J25" s="306">
        <v>1</v>
      </c>
      <c r="K25" s="306">
        <v>1</v>
      </c>
      <c r="L25" s="306">
        <v>0</v>
      </c>
      <c r="M25" s="306">
        <v>0</v>
      </c>
      <c r="N25" s="306">
        <v>0</v>
      </c>
      <c r="O25" s="306">
        <v>1</v>
      </c>
      <c r="P25" s="306">
        <v>0</v>
      </c>
      <c r="Q25" s="92"/>
      <c r="R25" s="306">
        <v>1</v>
      </c>
      <c r="S25" s="306">
        <v>1</v>
      </c>
      <c r="T25" s="306">
        <v>1</v>
      </c>
      <c r="U25" s="306">
        <v>1</v>
      </c>
      <c r="V25" s="306">
        <v>1</v>
      </c>
      <c r="W25" s="306">
        <v>1</v>
      </c>
      <c r="X25" s="306">
        <v>1</v>
      </c>
      <c r="Y25" s="306">
        <v>1</v>
      </c>
      <c r="Z25" s="306">
        <v>1</v>
      </c>
      <c r="AA25" s="306">
        <v>1</v>
      </c>
      <c r="AB25" s="306">
        <v>0</v>
      </c>
      <c r="AC25" s="306">
        <v>1</v>
      </c>
      <c r="AD25" s="92"/>
      <c r="AE25" s="306">
        <v>1</v>
      </c>
      <c r="AF25" s="306">
        <v>1</v>
      </c>
      <c r="AG25" s="306">
        <v>1</v>
      </c>
      <c r="AH25" s="306">
        <v>1</v>
      </c>
      <c r="AI25" s="306">
        <v>1</v>
      </c>
      <c r="AJ25" s="306">
        <v>1</v>
      </c>
      <c r="AK25" s="306">
        <v>1</v>
      </c>
      <c r="AL25" s="306">
        <v>1</v>
      </c>
      <c r="AM25" s="306">
        <v>1</v>
      </c>
      <c r="AN25" s="306">
        <v>1</v>
      </c>
      <c r="AO25" s="306">
        <v>1</v>
      </c>
      <c r="AP25" s="306">
        <v>1</v>
      </c>
      <c r="AQ25" s="306">
        <v>1</v>
      </c>
      <c r="AR25" s="306">
        <v>0</v>
      </c>
      <c r="AT25" s="306">
        <v>1</v>
      </c>
      <c r="AU25" s="306">
        <v>0</v>
      </c>
      <c r="AV25" s="306">
        <v>0</v>
      </c>
      <c r="AW25" s="306">
        <v>0</v>
      </c>
      <c r="AX25" s="306">
        <v>0</v>
      </c>
      <c r="AZ25" s="306">
        <v>1</v>
      </c>
      <c r="BA25" s="306">
        <v>1</v>
      </c>
      <c r="BB25" s="306">
        <v>1</v>
      </c>
      <c r="BC25" s="306">
        <v>1</v>
      </c>
      <c r="BD25" s="306">
        <v>1</v>
      </c>
      <c r="BF25" s="306">
        <v>1</v>
      </c>
      <c r="BG25" s="306">
        <v>1</v>
      </c>
      <c r="BH25" s="306">
        <v>1</v>
      </c>
      <c r="BI25" s="306">
        <v>1</v>
      </c>
      <c r="BJ25" s="306">
        <v>1</v>
      </c>
      <c r="BK25" s="306">
        <v>0</v>
      </c>
      <c r="BL25" s="306">
        <v>0</v>
      </c>
    </row>
    <row r="26" spans="1:64" x14ac:dyDescent="0.15">
      <c r="D26" s="487"/>
      <c r="E26" s="304" t="s">
        <v>527</v>
      </c>
      <c r="F26" s="306">
        <v>1</v>
      </c>
      <c r="G26" s="306">
        <v>1</v>
      </c>
      <c r="H26" s="306">
        <v>1</v>
      </c>
      <c r="I26" s="306">
        <v>1</v>
      </c>
      <c r="J26" s="306">
        <v>1</v>
      </c>
      <c r="K26" s="306">
        <v>1</v>
      </c>
      <c r="L26" s="306">
        <v>0</v>
      </c>
      <c r="M26" s="306">
        <v>0</v>
      </c>
      <c r="N26" s="306">
        <v>0</v>
      </c>
      <c r="O26" s="306">
        <v>1</v>
      </c>
      <c r="P26" s="306">
        <v>0</v>
      </c>
      <c r="Q26" s="92"/>
      <c r="R26" s="306">
        <v>1</v>
      </c>
      <c r="S26" s="306">
        <v>1</v>
      </c>
      <c r="T26" s="306">
        <v>1</v>
      </c>
      <c r="U26" s="306">
        <v>1</v>
      </c>
      <c r="V26" s="306">
        <v>1</v>
      </c>
      <c r="W26" s="306">
        <v>1</v>
      </c>
      <c r="X26" s="306">
        <v>1</v>
      </c>
      <c r="Y26" s="306">
        <v>1</v>
      </c>
      <c r="Z26" s="306">
        <v>1</v>
      </c>
      <c r="AA26" s="306">
        <v>1</v>
      </c>
      <c r="AB26" s="306">
        <v>0</v>
      </c>
      <c r="AC26" s="306">
        <v>1</v>
      </c>
      <c r="AD26" s="92"/>
      <c r="AE26" s="306">
        <v>1</v>
      </c>
      <c r="AF26" s="306">
        <v>1</v>
      </c>
      <c r="AG26" s="306">
        <v>1</v>
      </c>
      <c r="AH26" s="306">
        <v>1</v>
      </c>
      <c r="AI26" s="306">
        <v>1</v>
      </c>
      <c r="AJ26" s="306">
        <v>1</v>
      </c>
      <c r="AK26" s="306">
        <v>1</v>
      </c>
      <c r="AL26" s="306">
        <v>1</v>
      </c>
      <c r="AM26" s="306">
        <v>1</v>
      </c>
      <c r="AN26" s="306">
        <v>1</v>
      </c>
      <c r="AO26" s="306">
        <v>1</v>
      </c>
      <c r="AP26" s="306">
        <v>1</v>
      </c>
      <c r="AQ26" s="306">
        <v>1</v>
      </c>
      <c r="AR26" s="306">
        <v>0</v>
      </c>
      <c r="AT26" s="306">
        <v>1</v>
      </c>
      <c r="AU26" s="306">
        <v>0</v>
      </c>
      <c r="AV26" s="306">
        <v>0</v>
      </c>
      <c r="AW26" s="306">
        <v>0</v>
      </c>
      <c r="AX26" s="306">
        <v>0</v>
      </c>
      <c r="AZ26" s="306">
        <v>1</v>
      </c>
      <c r="BA26" s="306">
        <v>1</v>
      </c>
      <c r="BB26" s="306">
        <v>1</v>
      </c>
      <c r="BC26" s="306">
        <v>1</v>
      </c>
      <c r="BD26" s="306">
        <v>1</v>
      </c>
      <c r="BF26" s="306">
        <v>1</v>
      </c>
      <c r="BG26" s="306">
        <v>0</v>
      </c>
      <c r="BH26" s="306">
        <v>0</v>
      </c>
      <c r="BI26" s="306">
        <v>0</v>
      </c>
      <c r="BJ26" s="306">
        <v>0</v>
      </c>
      <c r="BK26" s="306">
        <v>0</v>
      </c>
      <c r="BL26" s="306">
        <v>0</v>
      </c>
    </row>
    <row r="27" spans="1:64" x14ac:dyDescent="0.15">
      <c r="D27" s="487"/>
      <c r="E27" s="304" t="s">
        <v>439</v>
      </c>
      <c r="F27" s="306">
        <v>1</v>
      </c>
      <c r="G27" s="306">
        <v>1</v>
      </c>
      <c r="H27" s="306">
        <v>1</v>
      </c>
      <c r="I27" s="306">
        <v>1</v>
      </c>
      <c r="J27" s="306">
        <v>1</v>
      </c>
      <c r="K27" s="306">
        <v>1</v>
      </c>
      <c r="L27" s="306">
        <v>0</v>
      </c>
      <c r="M27" s="306">
        <v>0</v>
      </c>
      <c r="N27" s="306">
        <v>0</v>
      </c>
      <c r="O27" s="306">
        <v>1</v>
      </c>
      <c r="P27" s="306">
        <v>0</v>
      </c>
      <c r="Q27" s="92"/>
      <c r="R27" s="306">
        <v>1</v>
      </c>
      <c r="S27" s="306">
        <v>1</v>
      </c>
      <c r="T27" s="306">
        <v>1</v>
      </c>
      <c r="U27" s="306">
        <v>1</v>
      </c>
      <c r="V27" s="306">
        <v>1</v>
      </c>
      <c r="W27" s="306">
        <v>1</v>
      </c>
      <c r="X27" s="306">
        <v>1</v>
      </c>
      <c r="Y27" s="306">
        <v>1</v>
      </c>
      <c r="Z27" s="306">
        <v>1</v>
      </c>
      <c r="AA27" s="306">
        <v>1</v>
      </c>
      <c r="AB27" s="306">
        <v>0</v>
      </c>
      <c r="AC27" s="306">
        <v>1</v>
      </c>
      <c r="AD27" s="92"/>
      <c r="AE27" s="306">
        <v>1</v>
      </c>
      <c r="AF27" s="306">
        <v>1</v>
      </c>
      <c r="AG27" s="306">
        <v>1</v>
      </c>
      <c r="AH27" s="306">
        <v>1</v>
      </c>
      <c r="AI27" s="306">
        <v>1</v>
      </c>
      <c r="AJ27" s="306">
        <v>1</v>
      </c>
      <c r="AK27" s="306">
        <v>1</v>
      </c>
      <c r="AL27" s="306">
        <v>1</v>
      </c>
      <c r="AM27" s="306">
        <v>1</v>
      </c>
      <c r="AN27" s="306">
        <v>1</v>
      </c>
      <c r="AO27" s="306">
        <v>1</v>
      </c>
      <c r="AP27" s="306">
        <v>1</v>
      </c>
      <c r="AQ27" s="306">
        <v>1</v>
      </c>
      <c r="AR27" s="306">
        <v>0</v>
      </c>
      <c r="AT27" s="306">
        <v>1</v>
      </c>
      <c r="AU27" s="306">
        <v>0</v>
      </c>
      <c r="AV27" s="306">
        <v>0</v>
      </c>
      <c r="AW27" s="306">
        <v>0</v>
      </c>
      <c r="AX27" s="306">
        <v>0</v>
      </c>
      <c r="AZ27" s="306">
        <v>1</v>
      </c>
      <c r="BA27" s="306">
        <v>1</v>
      </c>
      <c r="BB27" s="306">
        <v>1</v>
      </c>
      <c r="BC27" s="306">
        <v>1</v>
      </c>
      <c r="BD27" s="306">
        <v>1</v>
      </c>
      <c r="BF27" s="306">
        <v>1</v>
      </c>
      <c r="BG27" s="306">
        <v>0</v>
      </c>
      <c r="BH27" s="306">
        <v>0</v>
      </c>
      <c r="BI27" s="306">
        <v>0</v>
      </c>
      <c r="BJ27" s="306">
        <v>0</v>
      </c>
      <c r="BK27" s="306">
        <v>0</v>
      </c>
      <c r="BL27" s="306">
        <v>0</v>
      </c>
    </row>
    <row r="28" spans="1:64" x14ac:dyDescent="0.15">
      <c r="D28" s="487"/>
      <c r="E28" s="304" t="s">
        <v>529</v>
      </c>
      <c r="F28" s="306">
        <v>1</v>
      </c>
      <c r="G28" s="306">
        <v>1</v>
      </c>
      <c r="H28" s="306">
        <v>1</v>
      </c>
      <c r="I28" s="306">
        <v>1</v>
      </c>
      <c r="J28" s="306">
        <v>1</v>
      </c>
      <c r="K28" s="306">
        <v>1</v>
      </c>
      <c r="L28" s="306">
        <v>0</v>
      </c>
      <c r="M28" s="306">
        <v>0</v>
      </c>
      <c r="N28" s="306">
        <v>0</v>
      </c>
      <c r="O28" s="306">
        <v>1</v>
      </c>
      <c r="P28" s="306">
        <v>0</v>
      </c>
      <c r="Q28" s="92"/>
      <c r="R28" s="306">
        <v>0</v>
      </c>
      <c r="S28" s="306">
        <v>0</v>
      </c>
      <c r="T28" s="306">
        <v>0</v>
      </c>
      <c r="U28" s="306">
        <v>0</v>
      </c>
      <c r="V28" s="306">
        <v>0</v>
      </c>
      <c r="W28" s="306">
        <v>0</v>
      </c>
      <c r="X28" s="306">
        <v>0</v>
      </c>
      <c r="Y28" s="306">
        <v>0</v>
      </c>
      <c r="Z28" s="306">
        <v>0</v>
      </c>
      <c r="AA28" s="306">
        <v>0</v>
      </c>
      <c r="AB28" s="306">
        <v>1</v>
      </c>
      <c r="AC28" s="306">
        <v>0</v>
      </c>
      <c r="AD28" s="92"/>
      <c r="AE28" s="306">
        <v>1</v>
      </c>
      <c r="AF28" s="306">
        <v>1</v>
      </c>
      <c r="AG28" s="306">
        <v>1</v>
      </c>
      <c r="AH28" s="306">
        <v>1</v>
      </c>
      <c r="AI28" s="306">
        <v>1</v>
      </c>
      <c r="AJ28" s="306">
        <v>1</v>
      </c>
      <c r="AK28" s="306">
        <v>1</v>
      </c>
      <c r="AL28" s="306">
        <v>1</v>
      </c>
      <c r="AM28" s="306">
        <v>1</v>
      </c>
      <c r="AN28" s="306">
        <v>1</v>
      </c>
      <c r="AO28" s="306">
        <v>1</v>
      </c>
      <c r="AP28" s="306">
        <v>1</v>
      </c>
      <c r="AQ28" s="306">
        <v>1</v>
      </c>
      <c r="AR28" s="306">
        <v>0</v>
      </c>
      <c r="AT28" s="306">
        <v>0</v>
      </c>
      <c r="AU28" s="306">
        <v>0</v>
      </c>
      <c r="AV28" s="306">
        <v>0</v>
      </c>
      <c r="AW28" s="306">
        <v>0</v>
      </c>
      <c r="AX28" s="306">
        <v>1</v>
      </c>
      <c r="AZ28" s="306">
        <v>1</v>
      </c>
      <c r="BA28" s="306">
        <v>1</v>
      </c>
      <c r="BB28" s="306">
        <v>1</v>
      </c>
      <c r="BC28" s="306">
        <v>1</v>
      </c>
      <c r="BD28" s="306">
        <v>1</v>
      </c>
      <c r="BF28" s="306">
        <v>0</v>
      </c>
      <c r="BG28" s="306">
        <v>0</v>
      </c>
      <c r="BH28" s="306">
        <v>0</v>
      </c>
      <c r="BI28" s="306">
        <v>0</v>
      </c>
      <c r="BJ28" s="306">
        <v>0</v>
      </c>
      <c r="BK28" s="306">
        <v>0</v>
      </c>
      <c r="BL28" s="306">
        <v>1</v>
      </c>
    </row>
    <row r="29" spans="1:64" x14ac:dyDescent="0.15">
      <c r="D29" s="487"/>
      <c r="E29" s="304" t="s">
        <v>530</v>
      </c>
      <c r="F29" s="306">
        <v>1</v>
      </c>
      <c r="G29" s="306">
        <v>1</v>
      </c>
      <c r="H29" s="306">
        <v>1</v>
      </c>
      <c r="I29" s="306">
        <v>1</v>
      </c>
      <c r="J29" s="306">
        <v>1</v>
      </c>
      <c r="K29" s="306">
        <v>1</v>
      </c>
      <c r="L29" s="306">
        <v>0</v>
      </c>
      <c r="M29" s="306">
        <v>0</v>
      </c>
      <c r="N29" s="306">
        <v>0</v>
      </c>
      <c r="O29" s="306">
        <v>1</v>
      </c>
      <c r="P29" s="306">
        <v>0</v>
      </c>
      <c r="Q29" s="92"/>
      <c r="R29" s="306">
        <v>1</v>
      </c>
      <c r="S29" s="306">
        <v>1</v>
      </c>
      <c r="T29" s="306">
        <v>1</v>
      </c>
      <c r="U29" s="306">
        <v>1</v>
      </c>
      <c r="V29" s="306">
        <v>1</v>
      </c>
      <c r="W29" s="306">
        <v>1</v>
      </c>
      <c r="X29" s="306">
        <v>1</v>
      </c>
      <c r="Y29" s="306">
        <v>1</v>
      </c>
      <c r="Z29" s="306">
        <v>1</v>
      </c>
      <c r="AA29" s="306">
        <v>1</v>
      </c>
      <c r="AB29" s="306">
        <v>0</v>
      </c>
      <c r="AC29" s="306">
        <v>1</v>
      </c>
      <c r="AD29" s="92"/>
      <c r="AE29" s="306">
        <v>1</v>
      </c>
      <c r="AF29" s="306">
        <v>1</v>
      </c>
      <c r="AG29" s="306">
        <v>1</v>
      </c>
      <c r="AH29" s="306">
        <v>1</v>
      </c>
      <c r="AI29" s="306">
        <v>1</v>
      </c>
      <c r="AJ29" s="306">
        <v>1</v>
      </c>
      <c r="AK29" s="306">
        <v>1</v>
      </c>
      <c r="AL29" s="306">
        <v>1</v>
      </c>
      <c r="AM29" s="306">
        <v>1</v>
      </c>
      <c r="AN29" s="306">
        <v>1</v>
      </c>
      <c r="AO29" s="306">
        <v>1</v>
      </c>
      <c r="AP29" s="306">
        <v>1</v>
      </c>
      <c r="AQ29" s="306">
        <v>1</v>
      </c>
      <c r="AR29" s="306">
        <v>0</v>
      </c>
      <c r="AT29" s="306">
        <v>1</v>
      </c>
      <c r="AU29" s="306">
        <v>0</v>
      </c>
      <c r="AV29" s="306">
        <v>0</v>
      </c>
      <c r="AW29" s="306">
        <v>0</v>
      </c>
      <c r="AX29" s="306">
        <v>0</v>
      </c>
      <c r="AZ29" s="306">
        <v>1</v>
      </c>
      <c r="BA29" s="306">
        <v>1</v>
      </c>
      <c r="BB29" s="306">
        <v>1</v>
      </c>
      <c r="BC29" s="306">
        <v>1</v>
      </c>
      <c r="BD29" s="306">
        <v>1</v>
      </c>
      <c r="BF29" s="306">
        <v>1</v>
      </c>
      <c r="BG29" s="306">
        <v>0</v>
      </c>
      <c r="BH29" s="306">
        <v>0</v>
      </c>
      <c r="BI29" s="306">
        <v>0</v>
      </c>
      <c r="BJ29" s="306">
        <v>0</v>
      </c>
      <c r="BK29" s="306">
        <v>0</v>
      </c>
      <c r="BL29" s="306">
        <v>0</v>
      </c>
    </row>
    <row r="30" spans="1:64" x14ac:dyDescent="0.15">
      <c r="D30" s="487"/>
      <c r="E30" s="304" t="s">
        <v>440</v>
      </c>
      <c r="F30" s="306">
        <v>1</v>
      </c>
      <c r="G30" s="306">
        <v>1</v>
      </c>
      <c r="H30" s="306">
        <v>1</v>
      </c>
      <c r="I30" s="306">
        <v>1</v>
      </c>
      <c r="J30" s="306">
        <v>1</v>
      </c>
      <c r="K30" s="306">
        <v>1</v>
      </c>
      <c r="L30" s="306">
        <v>0</v>
      </c>
      <c r="M30" s="306">
        <v>0</v>
      </c>
      <c r="N30" s="306">
        <v>0</v>
      </c>
      <c r="O30" s="306">
        <v>1</v>
      </c>
      <c r="P30" s="306">
        <v>0</v>
      </c>
      <c r="Q30" s="92"/>
      <c r="R30" s="306">
        <v>0</v>
      </c>
      <c r="S30" s="306">
        <v>0</v>
      </c>
      <c r="T30" s="306">
        <v>0</v>
      </c>
      <c r="U30" s="306">
        <v>0</v>
      </c>
      <c r="V30" s="306">
        <v>0</v>
      </c>
      <c r="W30" s="306">
        <v>0</v>
      </c>
      <c r="X30" s="306">
        <v>0</v>
      </c>
      <c r="Y30" s="306">
        <v>0</v>
      </c>
      <c r="Z30" s="306">
        <v>0</v>
      </c>
      <c r="AA30" s="306">
        <v>0</v>
      </c>
      <c r="AB30" s="306">
        <v>1</v>
      </c>
      <c r="AC30" s="306">
        <v>0</v>
      </c>
      <c r="AD30" s="92"/>
      <c r="AE30" s="306">
        <v>1</v>
      </c>
      <c r="AF30" s="306">
        <v>1</v>
      </c>
      <c r="AG30" s="306">
        <v>1</v>
      </c>
      <c r="AH30" s="306">
        <v>1</v>
      </c>
      <c r="AI30" s="306">
        <v>1</v>
      </c>
      <c r="AJ30" s="306">
        <v>1</v>
      </c>
      <c r="AK30" s="306">
        <v>1</v>
      </c>
      <c r="AL30" s="306">
        <v>1</v>
      </c>
      <c r="AM30" s="306">
        <v>1</v>
      </c>
      <c r="AN30" s="306">
        <v>1</v>
      </c>
      <c r="AO30" s="306">
        <v>1</v>
      </c>
      <c r="AP30" s="306">
        <v>1</v>
      </c>
      <c r="AQ30" s="306">
        <v>1</v>
      </c>
      <c r="AR30" s="306">
        <v>0</v>
      </c>
      <c r="AT30" s="306">
        <v>1</v>
      </c>
      <c r="AU30" s="306">
        <v>0</v>
      </c>
      <c r="AV30" s="306">
        <v>0</v>
      </c>
      <c r="AW30" s="306">
        <v>0</v>
      </c>
      <c r="AX30" s="306">
        <v>0</v>
      </c>
      <c r="AZ30" s="306">
        <v>1</v>
      </c>
      <c r="BA30" s="306">
        <v>1</v>
      </c>
      <c r="BB30" s="306">
        <v>1</v>
      </c>
      <c r="BC30" s="306">
        <v>1</v>
      </c>
      <c r="BD30" s="306">
        <v>1</v>
      </c>
      <c r="BF30" s="306">
        <v>0</v>
      </c>
      <c r="BG30" s="306">
        <v>0</v>
      </c>
      <c r="BH30" s="306">
        <v>0</v>
      </c>
      <c r="BI30" s="306">
        <v>0</v>
      </c>
      <c r="BJ30" s="306">
        <v>0</v>
      </c>
      <c r="BK30" s="306">
        <v>1</v>
      </c>
      <c r="BL30" s="306">
        <v>0</v>
      </c>
    </row>
    <row r="31" spans="1:64" x14ac:dyDescent="0.15">
      <c r="D31" s="487"/>
      <c r="E31" s="304" t="s">
        <v>55</v>
      </c>
      <c r="F31" s="306">
        <v>1</v>
      </c>
      <c r="G31" s="306">
        <v>1</v>
      </c>
      <c r="H31" s="306">
        <v>1</v>
      </c>
      <c r="I31" s="306">
        <v>1</v>
      </c>
      <c r="J31" s="306">
        <v>1</v>
      </c>
      <c r="K31" s="306">
        <v>1</v>
      </c>
      <c r="L31" s="306">
        <v>0</v>
      </c>
      <c r="M31" s="306">
        <v>0</v>
      </c>
      <c r="N31" s="306">
        <v>0</v>
      </c>
      <c r="O31" s="306">
        <v>1</v>
      </c>
      <c r="P31" s="306">
        <v>0</v>
      </c>
      <c r="Q31" s="92"/>
      <c r="R31" s="306">
        <v>0</v>
      </c>
      <c r="S31" s="306">
        <v>0</v>
      </c>
      <c r="T31" s="306">
        <v>0</v>
      </c>
      <c r="U31" s="306">
        <v>0</v>
      </c>
      <c r="V31" s="306">
        <v>0</v>
      </c>
      <c r="W31" s="306">
        <v>0</v>
      </c>
      <c r="X31" s="306">
        <v>0</v>
      </c>
      <c r="Y31" s="306">
        <v>0</v>
      </c>
      <c r="Z31" s="306">
        <v>0</v>
      </c>
      <c r="AA31" s="306">
        <v>0</v>
      </c>
      <c r="AB31" s="306">
        <v>1</v>
      </c>
      <c r="AC31" s="306">
        <v>0</v>
      </c>
      <c r="AD31" s="92"/>
      <c r="AE31" s="306">
        <v>1</v>
      </c>
      <c r="AF31" s="306">
        <v>1</v>
      </c>
      <c r="AG31" s="306">
        <v>1</v>
      </c>
      <c r="AH31" s="306">
        <v>1</v>
      </c>
      <c r="AI31" s="306">
        <v>1</v>
      </c>
      <c r="AJ31" s="306">
        <v>1</v>
      </c>
      <c r="AK31" s="306">
        <v>1</v>
      </c>
      <c r="AL31" s="306">
        <v>1</v>
      </c>
      <c r="AM31" s="306">
        <v>1</v>
      </c>
      <c r="AN31" s="306">
        <v>1</v>
      </c>
      <c r="AO31" s="306">
        <v>1</v>
      </c>
      <c r="AP31" s="306">
        <v>1</v>
      </c>
      <c r="AQ31" s="306">
        <v>1</v>
      </c>
      <c r="AR31" s="306">
        <v>0</v>
      </c>
      <c r="AT31" s="306">
        <v>0</v>
      </c>
      <c r="AU31" s="306">
        <v>0</v>
      </c>
      <c r="AV31" s="306">
        <v>0</v>
      </c>
      <c r="AW31" s="306">
        <v>0</v>
      </c>
      <c r="AX31" s="306">
        <v>1</v>
      </c>
      <c r="AZ31" s="306">
        <v>1</v>
      </c>
      <c r="BA31" s="306">
        <v>1</v>
      </c>
      <c r="BB31" s="306">
        <v>1</v>
      </c>
      <c r="BC31" s="306">
        <v>1</v>
      </c>
      <c r="BD31" s="306">
        <v>1</v>
      </c>
      <c r="BF31" s="306">
        <v>0</v>
      </c>
      <c r="BG31" s="306">
        <v>0</v>
      </c>
      <c r="BH31" s="306">
        <v>0</v>
      </c>
      <c r="BI31" s="306">
        <v>0</v>
      </c>
      <c r="BJ31" s="306">
        <v>0</v>
      </c>
      <c r="BK31" s="306">
        <v>0</v>
      </c>
      <c r="BL31" s="306">
        <v>1</v>
      </c>
    </row>
    <row r="32" spans="1:64" x14ac:dyDescent="0.15">
      <c r="D32" s="487"/>
      <c r="E32" s="304" t="s">
        <v>56</v>
      </c>
      <c r="F32" s="306">
        <v>1</v>
      </c>
      <c r="G32" s="306">
        <v>1</v>
      </c>
      <c r="H32" s="306">
        <v>1</v>
      </c>
      <c r="I32" s="306">
        <v>1</v>
      </c>
      <c r="J32" s="306">
        <v>1</v>
      </c>
      <c r="K32" s="306">
        <v>1</v>
      </c>
      <c r="L32" s="306">
        <v>0</v>
      </c>
      <c r="M32" s="306">
        <v>0</v>
      </c>
      <c r="N32" s="306">
        <v>0</v>
      </c>
      <c r="O32" s="306">
        <v>1</v>
      </c>
      <c r="P32" s="306">
        <v>0</v>
      </c>
      <c r="Q32" s="92"/>
      <c r="R32" s="306">
        <v>0</v>
      </c>
      <c r="S32" s="306">
        <v>0</v>
      </c>
      <c r="T32" s="306">
        <v>0</v>
      </c>
      <c r="U32" s="306">
        <v>0</v>
      </c>
      <c r="V32" s="306">
        <v>0</v>
      </c>
      <c r="W32" s="306">
        <v>0</v>
      </c>
      <c r="X32" s="306">
        <v>0</v>
      </c>
      <c r="Y32" s="306">
        <v>0</v>
      </c>
      <c r="Z32" s="306">
        <v>0</v>
      </c>
      <c r="AA32" s="306">
        <v>0</v>
      </c>
      <c r="AB32" s="306">
        <v>1</v>
      </c>
      <c r="AC32" s="306">
        <v>0</v>
      </c>
      <c r="AD32" s="92"/>
      <c r="AE32" s="306">
        <v>1</v>
      </c>
      <c r="AF32" s="306">
        <v>1</v>
      </c>
      <c r="AG32" s="306">
        <v>1</v>
      </c>
      <c r="AH32" s="306">
        <v>1</v>
      </c>
      <c r="AI32" s="306">
        <v>1</v>
      </c>
      <c r="AJ32" s="306">
        <v>1</v>
      </c>
      <c r="AK32" s="306">
        <v>1</v>
      </c>
      <c r="AL32" s="306">
        <v>1</v>
      </c>
      <c r="AM32" s="306">
        <v>1</v>
      </c>
      <c r="AN32" s="306">
        <v>1</v>
      </c>
      <c r="AO32" s="306">
        <v>1</v>
      </c>
      <c r="AP32" s="306">
        <v>1</v>
      </c>
      <c r="AQ32" s="306">
        <v>1</v>
      </c>
      <c r="AR32" s="306">
        <v>0</v>
      </c>
      <c r="AT32" s="306">
        <v>1</v>
      </c>
      <c r="AU32" s="306">
        <v>0</v>
      </c>
      <c r="AV32" s="306">
        <v>0</v>
      </c>
      <c r="AW32" s="306">
        <v>0</v>
      </c>
      <c r="AX32" s="306">
        <v>0</v>
      </c>
      <c r="AZ32" s="306">
        <v>1</v>
      </c>
      <c r="BA32" s="306">
        <v>1</v>
      </c>
      <c r="BB32" s="306">
        <v>1</v>
      </c>
      <c r="BC32" s="306">
        <v>1</v>
      </c>
      <c r="BD32" s="306">
        <v>1</v>
      </c>
      <c r="BF32" s="306">
        <v>0</v>
      </c>
      <c r="BG32" s="306">
        <v>0</v>
      </c>
      <c r="BH32" s="306">
        <v>0</v>
      </c>
      <c r="BI32" s="306">
        <v>0</v>
      </c>
      <c r="BJ32" s="306">
        <v>0</v>
      </c>
      <c r="BK32" s="306">
        <v>1</v>
      </c>
      <c r="BL32" s="306">
        <v>0</v>
      </c>
    </row>
    <row r="33" spans="4:64" x14ac:dyDescent="0.15">
      <c r="D33" s="487"/>
      <c r="E33" s="304" t="s">
        <v>441</v>
      </c>
      <c r="F33" s="306">
        <v>1</v>
      </c>
      <c r="G33" s="306">
        <v>1</v>
      </c>
      <c r="H33" s="306">
        <v>1</v>
      </c>
      <c r="I33" s="306">
        <v>1</v>
      </c>
      <c r="J33" s="306">
        <v>1</v>
      </c>
      <c r="K33" s="306">
        <v>1</v>
      </c>
      <c r="L33" s="306">
        <v>0</v>
      </c>
      <c r="M33" s="306">
        <v>0</v>
      </c>
      <c r="N33" s="306">
        <v>0</v>
      </c>
      <c r="O33" s="306">
        <v>1</v>
      </c>
      <c r="P33" s="306">
        <v>0</v>
      </c>
      <c r="Q33" s="92"/>
      <c r="R33" s="306">
        <v>1</v>
      </c>
      <c r="S33" s="306">
        <v>1</v>
      </c>
      <c r="T33" s="306">
        <v>1</v>
      </c>
      <c r="U33" s="306">
        <v>1</v>
      </c>
      <c r="V33" s="306">
        <v>1</v>
      </c>
      <c r="W33" s="306">
        <v>1</v>
      </c>
      <c r="X33" s="306">
        <v>1</v>
      </c>
      <c r="Y33" s="306">
        <v>1</v>
      </c>
      <c r="Z33" s="306">
        <v>1</v>
      </c>
      <c r="AA33" s="306">
        <v>1</v>
      </c>
      <c r="AB33" s="306">
        <v>0</v>
      </c>
      <c r="AC33" s="306">
        <v>1</v>
      </c>
      <c r="AD33" s="92"/>
      <c r="AE33" s="306">
        <v>0</v>
      </c>
      <c r="AF33" s="306">
        <v>0</v>
      </c>
      <c r="AG33" s="306">
        <v>0</v>
      </c>
      <c r="AH33" s="306">
        <v>0</v>
      </c>
      <c r="AI33" s="306">
        <v>0</v>
      </c>
      <c r="AJ33" s="306">
        <v>0</v>
      </c>
      <c r="AK33" s="306">
        <v>0</v>
      </c>
      <c r="AL33" s="306">
        <v>0</v>
      </c>
      <c r="AM33" s="306">
        <v>0</v>
      </c>
      <c r="AN33" s="306">
        <v>0</v>
      </c>
      <c r="AO33" s="306">
        <v>0</v>
      </c>
      <c r="AP33" s="306">
        <v>0</v>
      </c>
      <c r="AQ33" s="306">
        <v>0</v>
      </c>
      <c r="AR33" s="306">
        <v>1</v>
      </c>
      <c r="AT33" s="306">
        <v>0</v>
      </c>
      <c r="AU33" s="306">
        <v>0</v>
      </c>
      <c r="AV33" s="306">
        <v>0</v>
      </c>
      <c r="AW33" s="306">
        <v>0</v>
      </c>
      <c r="AX33" s="306">
        <v>1</v>
      </c>
      <c r="AZ33" s="306">
        <v>1</v>
      </c>
      <c r="BA33" s="306">
        <v>1</v>
      </c>
      <c r="BB33" s="306">
        <v>1</v>
      </c>
      <c r="BC33" s="306">
        <v>1</v>
      </c>
      <c r="BD33" s="306">
        <v>0</v>
      </c>
      <c r="BF33" s="306">
        <v>1</v>
      </c>
      <c r="BG33" s="306">
        <v>0</v>
      </c>
      <c r="BH33" s="306">
        <v>0</v>
      </c>
      <c r="BI33" s="306">
        <v>0</v>
      </c>
      <c r="BJ33" s="306">
        <v>0</v>
      </c>
      <c r="BK33" s="306">
        <v>0</v>
      </c>
      <c r="BL33" s="306">
        <v>0</v>
      </c>
    </row>
    <row r="34" spans="4:64" x14ac:dyDescent="0.15">
      <c r="D34" s="487"/>
      <c r="E34" s="304" t="s">
        <v>567</v>
      </c>
      <c r="F34" s="306">
        <v>1</v>
      </c>
      <c r="G34" s="306">
        <v>1</v>
      </c>
      <c r="H34" s="306">
        <v>1</v>
      </c>
      <c r="I34" s="306">
        <v>1</v>
      </c>
      <c r="J34" s="306">
        <v>1</v>
      </c>
      <c r="K34" s="306">
        <v>1</v>
      </c>
      <c r="L34" s="306">
        <v>0</v>
      </c>
      <c r="M34" s="306">
        <v>0</v>
      </c>
      <c r="N34" s="306">
        <v>0</v>
      </c>
      <c r="O34" s="306">
        <v>1</v>
      </c>
      <c r="P34" s="306">
        <v>0</v>
      </c>
      <c r="Q34" s="92"/>
      <c r="R34" s="306">
        <v>1</v>
      </c>
      <c r="S34" s="306">
        <v>1</v>
      </c>
      <c r="T34" s="306">
        <v>1</v>
      </c>
      <c r="U34" s="306">
        <v>1</v>
      </c>
      <c r="V34" s="306">
        <v>1</v>
      </c>
      <c r="W34" s="306">
        <v>1</v>
      </c>
      <c r="X34" s="306">
        <v>1</v>
      </c>
      <c r="Y34" s="306">
        <v>1</v>
      </c>
      <c r="Z34" s="306">
        <v>1</v>
      </c>
      <c r="AA34" s="306">
        <v>1</v>
      </c>
      <c r="AB34" s="306">
        <v>0</v>
      </c>
      <c r="AC34" s="306">
        <v>1</v>
      </c>
      <c r="AD34" s="92"/>
      <c r="AE34" s="306">
        <v>0</v>
      </c>
      <c r="AF34" s="306">
        <v>0</v>
      </c>
      <c r="AG34" s="306">
        <v>0</v>
      </c>
      <c r="AH34" s="306">
        <v>0</v>
      </c>
      <c r="AI34" s="306">
        <v>0</v>
      </c>
      <c r="AJ34" s="306">
        <v>0</v>
      </c>
      <c r="AK34" s="306">
        <v>0</v>
      </c>
      <c r="AL34" s="306">
        <v>0</v>
      </c>
      <c r="AM34" s="306">
        <v>0</v>
      </c>
      <c r="AN34" s="306">
        <v>0</v>
      </c>
      <c r="AO34" s="306">
        <v>0</v>
      </c>
      <c r="AP34" s="306">
        <v>0</v>
      </c>
      <c r="AQ34" s="306">
        <v>0</v>
      </c>
      <c r="AR34" s="306">
        <v>1</v>
      </c>
      <c r="AT34" s="306">
        <v>0</v>
      </c>
      <c r="AU34" s="306">
        <v>0</v>
      </c>
      <c r="AV34" s="306">
        <v>0</v>
      </c>
      <c r="AW34" s="306">
        <v>0</v>
      </c>
      <c r="AX34" s="306">
        <v>1</v>
      </c>
      <c r="AZ34" s="306">
        <v>1</v>
      </c>
      <c r="BA34" s="306">
        <v>1</v>
      </c>
      <c r="BB34" s="306">
        <v>1</v>
      </c>
      <c r="BC34" s="306">
        <v>1</v>
      </c>
      <c r="BD34" s="306">
        <v>0</v>
      </c>
      <c r="BF34" s="306">
        <v>1</v>
      </c>
      <c r="BG34" s="306">
        <v>0</v>
      </c>
      <c r="BH34" s="306">
        <v>0</v>
      </c>
      <c r="BI34" s="306">
        <v>0</v>
      </c>
      <c r="BJ34" s="306">
        <v>0</v>
      </c>
      <c r="BK34" s="306">
        <v>0</v>
      </c>
      <c r="BL34" s="306">
        <v>0</v>
      </c>
    </row>
    <row r="35" spans="4:64" x14ac:dyDescent="0.15">
      <c r="D35" s="487"/>
      <c r="E35" s="304" t="s">
        <v>482</v>
      </c>
      <c r="F35" s="306">
        <v>1</v>
      </c>
      <c r="G35" s="306">
        <v>1</v>
      </c>
      <c r="H35" s="306">
        <v>1</v>
      </c>
      <c r="I35" s="306">
        <v>1</v>
      </c>
      <c r="J35" s="306">
        <v>1</v>
      </c>
      <c r="K35" s="306">
        <v>1</v>
      </c>
      <c r="L35" s="306">
        <v>0</v>
      </c>
      <c r="M35" s="306">
        <v>0</v>
      </c>
      <c r="N35" s="306">
        <v>0</v>
      </c>
      <c r="O35" s="306">
        <v>1</v>
      </c>
      <c r="P35" s="306">
        <v>0</v>
      </c>
      <c r="Q35" s="92"/>
      <c r="R35" s="306">
        <v>1</v>
      </c>
      <c r="S35" s="306">
        <v>1</v>
      </c>
      <c r="T35" s="306">
        <v>1</v>
      </c>
      <c r="U35" s="306">
        <v>1</v>
      </c>
      <c r="V35" s="306">
        <v>1</v>
      </c>
      <c r="W35" s="306">
        <v>1</v>
      </c>
      <c r="X35" s="306">
        <v>1</v>
      </c>
      <c r="Y35" s="306">
        <v>1</v>
      </c>
      <c r="Z35" s="306">
        <v>1</v>
      </c>
      <c r="AA35" s="306">
        <v>1</v>
      </c>
      <c r="AB35" s="306">
        <v>0</v>
      </c>
      <c r="AC35" s="306">
        <v>1</v>
      </c>
      <c r="AD35" s="92"/>
      <c r="AE35" s="306">
        <v>0</v>
      </c>
      <c r="AF35" s="306">
        <v>0</v>
      </c>
      <c r="AG35" s="306">
        <v>0</v>
      </c>
      <c r="AH35" s="306">
        <v>0</v>
      </c>
      <c r="AI35" s="306">
        <v>0</v>
      </c>
      <c r="AJ35" s="306">
        <v>0</v>
      </c>
      <c r="AK35" s="306">
        <v>0</v>
      </c>
      <c r="AL35" s="306">
        <v>0</v>
      </c>
      <c r="AM35" s="306">
        <v>0</v>
      </c>
      <c r="AN35" s="306">
        <v>0</v>
      </c>
      <c r="AO35" s="306">
        <v>0</v>
      </c>
      <c r="AP35" s="306">
        <v>0</v>
      </c>
      <c r="AQ35" s="306">
        <v>0</v>
      </c>
      <c r="AR35" s="306">
        <v>1</v>
      </c>
      <c r="AT35" s="306">
        <v>0</v>
      </c>
      <c r="AU35" s="306">
        <v>0</v>
      </c>
      <c r="AV35" s="306">
        <v>0</v>
      </c>
      <c r="AW35" s="306">
        <v>0</v>
      </c>
      <c r="AX35" s="306">
        <v>1</v>
      </c>
      <c r="AZ35" s="306">
        <v>1</v>
      </c>
      <c r="BA35" s="306">
        <v>0</v>
      </c>
      <c r="BB35" s="306">
        <v>0</v>
      </c>
      <c r="BC35" s="306">
        <v>0</v>
      </c>
      <c r="BD35" s="306">
        <v>0</v>
      </c>
      <c r="BF35" s="306">
        <v>1</v>
      </c>
      <c r="BG35" s="306">
        <v>0</v>
      </c>
      <c r="BH35" s="306">
        <v>0</v>
      </c>
      <c r="BI35" s="306">
        <v>0</v>
      </c>
      <c r="BJ35" s="306">
        <v>0</v>
      </c>
      <c r="BK35" s="306">
        <v>0</v>
      </c>
      <c r="BL35" s="306">
        <v>0</v>
      </c>
    </row>
    <row r="36" spans="4:64" x14ac:dyDescent="0.15">
      <c r="D36" s="487"/>
      <c r="E36" s="304" t="s">
        <v>420</v>
      </c>
      <c r="F36" s="306">
        <v>1</v>
      </c>
      <c r="G36" s="306">
        <v>1</v>
      </c>
      <c r="H36" s="306">
        <v>1</v>
      </c>
      <c r="I36" s="306">
        <v>1</v>
      </c>
      <c r="J36" s="306">
        <v>1</v>
      </c>
      <c r="K36" s="306">
        <v>1</v>
      </c>
      <c r="L36" s="306">
        <v>0</v>
      </c>
      <c r="M36" s="306">
        <v>0</v>
      </c>
      <c r="N36" s="306">
        <v>0</v>
      </c>
      <c r="O36" s="306">
        <v>1</v>
      </c>
      <c r="P36" s="306">
        <v>0</v>
      </c>
      <c r="Q36" s="92"/>
      <c r="R36" s="306">
        <v>1</v>
      </c>
      <c r="S36" s="306">
        <v>1</v>
      </c>
      <c r="T36" s="306">
        <v>1</v>
      </c>
      <c r="U36" s="306">
        <v>1</v>
      </c>
      <c r="V36" s="306">
        <v>1</v>
      </c>
      <c r="W36" s="306">
        <v>1</v>
      </c>
      <c r="X36" s="306">
        <v>1</v>
      </c>
      <c r="Y36" s="306">
        <v>1</v>
      </c>
      <c r="Z36" s="306">
        <v>1</v>
      </c>
      <c r="AA36" s="306">
        <v>1</v>
      </c>
      <c r="AB36" s="306">
        <v>0</v>
      </c>
      <c r="AC36" s="306">
        <v>1</v>
      </c>
      <c r="AD36" s="92"/>
      <c r="AE36" s="306">
        <v>1</v>
      </c>
      <c r="AF36" s="306">
        <v>1</v>
      </c>
      <c r="AG36" s="306">
        <v>1</v>
      </c>
      <c r="AH36" s="306">
        <v>1</v>
      </c>
      <c r="AI36" s="306">
        <v>1</v>
      </c>
      <c r="AJ36" s="306">
        <v>1</v>
      </c>
      <c r="AK36" s="306">
        <v>1</v>
      </c>
      <c r="AL36" s="306">
        <v>1</v>
      </c>
      <c r="AM36" s="306">
        <v>1</v>
      </c>
      <c r="AN36" s="306">
        <v>1</v>
      </c>
      <c r="AO36" s="306">
        <v>1</v>
      </c>
      <c r="AP36" s="306">
        <v>1</v>
      </c>
      <c r="AQ36" s="306">
        <v>1</v>
      </c>
      <c r="AR36" s="306">
        <v>0</v>
      </c>
      <c r="AT36" s="306">
        <v>0</v>
      </c>
      <c r="AU36" s="306">
        <v>0</v>
      </c>
      <c r="AV36" s="306">
        <v>0</v>
      </c>
      <c r="AW36" s="306">
        <v>0</v>
      </c>
      <c r="AX36" s="306">
        <v>1</v>
      </c>
      <c r="AZ36" s="306">
        <v>1</v>
      </c>
      <c r="BA36" s="306">
        <v>0</v>
      </c>
      <c r="BB36" s="306">
        <v>0</v>
      </c>
      <c r="BC36" s="306">
        <v>0</v>
      </c>
      <c r="BD36" s="306">
        <v>0</v>
      </c>
      <c r="BF36" s="306">
        <v>1</v>
      </c>
      <c r="BG36" s="306">
        <v>0</v>
      </c>
      <c r="BH36" s="306">
        <v>0</v>
      </c>
      <c r="BI36" s="306">
        <v>0</v>
      </c>
      <c r="BJ36" s="306">
        <v>0</v>
      </c>
      <c r="BK36" s="306">
        <v>0</v>
      </c>
      <c r="BL36" s="306">
        <v>0</v>
      </c>
    </row>
    <row r="37" spans="4:64" x14ac:dyDescent="0.15">
      <c r="D37" s="487"/>
      <c r="E37" s="304" t="s">
        <v>421</v>
      </c>
      <c r="F37" s="306">
        <v>1</v>
      </c>
      <c r="G37" s="306">
        <v>1</v>
      </c>
      <c r="H37" s="306">
        <v>1</v>
      </c>
      <c r="I37" s="306">
        <v>1</v>
      </c>
      <c r="J37" s="306">
        <v>1</v>
      </c>
      <c r="K37" s="306">
        <v>1</v>
      </c>
      <c r="L37" s="306">
        <v>0</v>
      </c>
      <c r="M37" s="306">
        <v>0</v>
      </c>
      <c r="N37" s="306">
        <v>0</v>
      </c>
      <c r="O37" s="306">
        <v>1</v>
      </c>
      <c r="P37" s="306">
        <v>0</v>
      </c>
      <c r="Q37" s="92"/>
      <c r="R37" s="306">
        <v>1</v>
      </c>
      <c r="S37" s="306">
        <v>1</v>
      </c>
      <c r="T37" s="306">
        <v>1</v>
      </c>
      <c r="U37" s="306">
        <v>1</v>
      </c>
      <c r="V37" s="306">
        <v>1</v>
      </c>
      <c r="W37" s="306">
        <v>1</v>
      </c>
      <c r="X37" s="306">
        <v>1</v>
      </c>
      <c r="Y37" s="306">
        <v>1</v>
      </c>
      <c r="Z37" s="306">
        <v>1</v>
      </c>
      <c r="AA37" s="306">
        <v>1</v>
      </c>
      <c r="AB37" s="306">
        <v>0</v>
      </c>
      <c r="AC37" s="306">
        <v>1</v>
      </c>
      <c r="AD37" s="92"/>
      <c r="AE37" s="306">
        <v>1</v>
      </c>
      <c r="AF37" s="306">
        <v>1</v>
      </c>
      <c r="AG37" s="306">
        <v>1</v>
      </c>
      <c r="AH37" s="306">
        <v>1</v>
      </c>
      <c r="AI37" s="306">
        <v>1</v>
      </c>
      <c r="AJ37" s="306">
        <v>1</v>
      </c>
      <c r="AK37" s="306">
        <v>1</v>
      </c>
      <c r="AL37" s="306">
        <v>1</v>
      </c>
      <c r="AM37" s="306">
        <v>1</v>
      </c>
      <c r="AN37" s="306">
        <v>1</v>
      </c>
      <c r="AO37" s="306">
        <v>1</v>
      </c>
      <c r="AP37" s="306">
        <v>1</v>
      </c>
      <c r="AQ37" s="306">
        <v>1</v>
      </c>
      <c r="AR37" s="306">
        <v>0</v>
      </c>
      <c r="AT37" s="306">
        <v>0</v>
      </c>
      <c r="AU37" s="306">
        <v>0</v>
      </c>
      <c r="AV37" s="306">
        <v>0</v>
      </c>
      <c r="AW37" s="306">
        <v>0</v>
      </c>
      <c r="AX37" s="306">
        <v>1</v>
      </c>
      <c r="AZ37" s="306">
        <v>1</v>
      </c>
      <c r="BA37" s="306">
        <v>0</v>
      </c>
      <c r="BB37" s="306">
        <v>0</v>
      </c>
      <c r="BC37" s="306">
        <v>0</v>
      </c>
      <c r="BD37" s="306">
        <v>0</v>
      </c>
      <c r="BF37" s="306">
        <v>1</v>
      </c>
      <c r="BG37" s="306">
        <v>0</v>
      </c>
      <c r="BH37" s="306">
        <v>0</v>
      </c>
      <c r="BI37" s="306">
        <v>0</v>
      </c>
      <c r="BJ37" s="306">
        <v>0</v>
      </c>
      <c r="BK37" s="306">
        <v>0</v>
      </c>
      <c r="BL37" s="306">
        <v>0</v>
      </c>
    </row>
    <row r="38" spans="4:64" x14ac:dyDescent="0.15">
      <c r="D38" s="487"/>
      <c r="E38" s="304" t="s">
        <v>422</v>
      </c>
      <c r="F38" s="306">
        <v>1</v>
      </c>
      <c r="G38" s="306">
        <v>1</v>
      </c>
      <c r="H38" s="306">
        <v>1</v>
      </c>
      <c r="I38" s="306">
        <v>1</v>
      </c>
      <c r="J38" s="306">
        <v>1</v>
      </c>
      <c r="K38" s="306">
        <v>1</v>
      </c>
      <c r="L38" s="306">
        <v>0</v>
      </c>
      <c r="M38" s="306">
        <v>0</v>
      </c>
      <c r="N38" s="306">
        <v>0</v>
      </c>
      <c r="O38" s="306">
        <v>1</v>
      </c>
      <c r="P38" s="306">
        <v>0</v>
      </c>
      <c r="Q38" s="92"/>
      <c r="R38" s="306">
        <v>1</v>
      </c>
      <c r="S38" s="306">
        <v>1</v>
      </c>
      <c r="T38" s="306">
        <v>1</v>
      </c>
      <c r="U38" s="306">
        <v>1</v>
      </c>
      <c r="V38" s="306">
        <v>1</v>
      </c>
      <c r="W38" s="306">
        <v>1</v>
      </c>
      <c r="X38" s="306">
        <v>1</v>
      </c>
      <c r="Y38" s="306">
        <v>1</v>
      </c>
      <c r="Z38" s="306">
        <v>1</v>
      </c>
      <c r="AA38" s="306">
        <v>1</v>
      </c>
      <c r="AB38" s="306">
        <v>0</v>
      </c>
      <c r="AC38" s="306">
        <v>1</v>
      </c>
      <c r="AD38" s="92"/>
      <c r="AE38" s="306">
        <v>1</v>
      </c>
      <c r="AF38" s="306">
        <v>1</v>
      </c>
      <c r="AG38" s="306">
        <v>1</v>
      </c>
      <c r="AH38" s="306">
        <v>1</v>
      </c>
      <c r="AI38" s="306">
        <v>1</v>
      </c>
      <c r="AJ38" s="306">
        <v>1</v>
      </c>
      <c r="AK38" s="306">
        <v>1</v>
      </c>
      <c r="AL38" s="306">
        <v>1</v>
      </c>
      <c r="AM38" s="306">
        <v>1</v>
      </c>
      <c r="AN38" s="306">
        <v>1</v>
      </c>
      <c r="AO38" s="306">
        <v>1</v>
      </c>
      <c r="AP38" s="306">
        <v>1</v>
      </c>
      <c r="AQ38" s="306">
        <v>1</v>
      </c>
      <c r="AR38" s="306">
        <v>0</v>
      </c>
      <c r="AT38" s="306">
        <v>0</v>
      </c>
      <c r="AU38" s="306">
        <v>0</v>
      </c>
      <c r="AV38" s="306">
        <v>0</v>
      </c>
      <c r="AW38" s="306">
        <v>0</v>
      </c>
      <c r="AX38" s="306">
        <v>1</v>
      </c>
      <c r="AZ38" s="306">
        <v>1</v>
      </c>
      <c r="BA38" s="306">
        <v>0</v>
      </c>
      <c r="BB38" s="306">
        <v>0</v>
      </c>
      <c r="BC38" s="306">
        <v>0</v>
      </c>
      <c r="BD38" s="306">
        <v>0</v>
      </c>
      <c r="BF38" s="306">
        <v>1</v>
      </c>
      <c r="BG38" s="306">
        <v>0</v>
      </c>
      <c r="BH38" s="306">
        <v>0</v>
      </c>
      <c r="BI38" s="306">
        <v>0</v>
      </c>
      <c r="BJ38" s="306">
        <v>0</v>
      </c>
      <c r="BK38" s="306">
        <v>0</v>
      </c>
      <c r="BL38" s="306">
        <v>0</v>
      </c>
    </row>
    <row r="39" spans="4:64" x14ac:dyDescent="0.15">
      <c r="D39" s="487"/>
      <c r="E39" s="304" t="s">
        <v>423</v>
      </c>
      <c r="F39" s="306">
        <v>1</v>
      </c>
      <c r="G39" s="306">
        <v>1</v>
      </c>
      <c r="H39" s="306">
        <v>1</v>
      </c>
      <c r="I39" s="306">
        <v>1</v>
      </c>
      <c r="J39" s="306">
        <v>1</v>
      </c>
      <c r="K39" s="306">
        <v>1</v>
      </c>
      <c r="L39" s="306">
        <v>0</v>
      </c>
      <c r="M39" s="306">
        <v>0</v>
      </c>
      <c r="N39" s="306">
        <v>0</v>
      </c>
      <c r="O39" s="306">
        <v>1</v>
      </c>
      <c r="P39" s="306">
        <v>0</v>
      </c>
      <c r="Q39" s="92"/>
      <c r="R39" s="306">
        <v>1</v>
      </c>
      <c r="S39" s="306">
        <v>1</v>
      </c>
      <c r="T39" s="306">
        <v>1</v>
      </c>
      <c r="U39" s="306">
        <v>1</v>
      </c>
      <c r="V39" s="306">
        <v>1</v>
      </c>
      <c r="W39" s="306">
        <v>1</v>
      </c>
      <c r="X39" s="306">
        <v>1</v>
      </c>
      <c r="Y39" s="306">
        <v>1</v>
      </c>
      <c r="Z39" s="306">
        <v>1</v>
      </c>
      <c r="AA39" s="306">
        <v>1</v>
      </c>
      <c r="AB39" s="306">
        <v>0</v>
      </c>
      <c r="AC39" s="306">
        <v>1</v>
      </c>
      <c r="AD39" s="92"/>
      <c r="AE39" s="306">
        <v>0</v>
      </c>
      <c r="AF39" s="306">
        <v>0</v>
      </c>
      <c r="AG39" s="306">
        <v>0</v>
      </c>
      <c r="AH39" s="306">
        <v>0</v>
      </c>
      <c r="AI39" s="306">
        <v>0</v>
      </c>
      <c r="AJ39" s="306">
        <v>0</v>
      </c>
      <c r="AK39" s="306">
        <v>0</v>
      </c>
      <c r="AL39" s="306">
        <v>0</v>
      </c>
      <c r="AM39" s="306">
        <v>0</v>
      </c>
      <c r="AN39" s="306">
        <v>0</v>
      </c>
      <c r="AO39" s="306">
        <v>0</v>
      </c>
      <c r="AP39" s="306">
        <v>0</v>
      </c>
      <c r="AQ39" s="306">
        <v>0</v>
      </c>
      <c r="AR39" s="306">
        <v>1</v>
      </c>
      <c r="AT39" s="306">
        <v>0</v>
      </c>
      <c r="AU39" s="306">
        <v>0</v>
      </c>
      <c r="AV39" s="306">
        <v>0</v>
      </c>
      <c r="AW39" s="306">
        <v>0</v>
      </c>
      <c r="AX39" s="306">
        <v>1</v>
      </c>
      <c r="AZ39" s="306">
        <v>1</v>
      </c>
      <c r="BA39" s="306">
        <v>0</v>
      </c>
      <c r="BB39" s="306">
        <v>0</v>
      </c>
      <c r="BC39" s="306">
        <v>0</v>
      </c>
      <c r="BD39" s="306">
        <v>0</v>
      </c>
      <c r="BF39" s="306">
        <v>1</v>
      </c>
      <c r="BG39" s="306">
        <v>0</v>
      </c>
      <c r="BH39" s="306">
        <v>0</v>
      </c>
      <c r="BI39" s="306">
        <v>0</v>
      </c>
      <c r="BJ39" s="306">
        <v>0</v>
      </c>
      <c r="BK39" s="306">
        <v>0</v>
      </c>
      <c r="BL39" s="306">
        <v>0</v>
      </c>
    </row>
    <row r="40" spans="4:64" x14ac:dyDescent="0.15">
      <c r="D40" s="487"/>
      <c r="E40" s="304" t="s">
        <v>424</v>
      </c>
      <c r="F40" s="306">
        <v>1</v>
      </c>
      <c r="G40" s="306">
        <v>1</v>
      </c>
      <c r="H40" s="306">
        <v>1</v>
      </c>
      <c r="I40" s="306">
        <v>1</v>
      </c>
      <c r="J40" s="306">
        <v>1</v>
      </c>
      <c r="K40" s="306">
        <v>1</v>
      </c>
      <c r="L40" s="306">
        <v>0</v>
      </c>
      <c r="M40" s="306">
        <v>0</v>
      </c>
      <c r="N40" s="306">
        <v>0</v>
      </c>
      <c r="O40" s="306">
        <v>1</v>
      </c>
      <c r="P40" s="306">
        <v>0</v>
      </c>
      <c r="Q40" s="92"/>
      <c r="R40" s="306">
        <v>1</v>
      </c>
      <c r="S40" s="306">
        <v>1</v>
      </c>
      <c r="T40" s="306">
        <v>1</v>
      </c>
      <c r="U40" s="306">
        <v>1</v>
      </c>
      <c r="V40" s="306">
        <v>1</v>
      </c>
      <c r="W40" s="306">
        <v>1</v>
      </c>
      <c r="X40" s="306">
        <v>1</v>
      </c>
      <c r="Y40" s="306">
        <v>1</v>
      </c>
      <c r="Z40" s="306">
        <v>1</v>
      </c>
      <c r="AA40" s="306">
        <v>1</v>
      </c>
      <c r="AB40" s="306">
        <v>0</v>
      </c>
      <c r="AC40" s="306">
        <v>1</v>
      </c>
      <c r="AD40" s="92"/>
      <c r="AE40" s="306">
        <v>0</v>
      </c>
      <c r="AF40" s="306">
        <v>0</v>
      </c>
      <c r="AG40" s="306">
        <v>0</v>
      </c>
      <c r="AH40" s="306">
        <v>0</v>
      </c>
      <c r="AI40" s="306">
        <v>0</v>
      </c>
      <c r="AJ40" s="306">
        <v>0</v>
      </c>
      <c r="AK40" s="306">
        <v>0</v>
      </c>
      <c r="AL40" s="306">
        <v>0</v>
      </c>
      <c r="AM40" s="306">
        <v>0</v>
      </c>
      <c r="AN40" s="306">
        <v>0</v>
      </c>
      <c r="AO40" s="306">
        <v>0</v>
      </c>
      <c r="AP40" s="306">
        <v>0</v>
      </c>
      <c r="AQ40" s="306">
        <v>0</v>
      </c>
      <c r="AR40" s="306">
        <v>1</v>
      </c>
      <c r="AT40" s="306">
        <v>0</v>
      </c>
      <c r="AU40" s="306">
        <v>0</v>
      </c>
      <c r="AV40" s="306">
        <v>0</v>
      </c>
      <c r="AW40" s="306">
        <v>0</v>
      </c>
      <c r="AX40" s="306">
        <v>1</v>
      </c>
      <c r="AZ40" s="306">
        <v>1</v>
      </c>
      <c r="BA40" s="306">
        <v>0</v>
      </c>
      <c r="BB40" s="306">
        <v>0</v>
      </c>
      <c r="BC40" s="306">
        <v>0</v>
      </c>
      <c r="BD40" s="306">
        <v>0</v>
      </c>
      <c r="BF40" s="306">
        <v>1</v>
      </c>
      <c r="BG40" s="306">
        <v>0</v>
      </c>
      <c r="BH40" s="306">
        <v>0</v>
      </c>
      <c r="BI40" s="306">
        <v>0</v>
      </c>
      <c r="BJ40" s="306">
        <v>0</v>
      </c>
      <c r="BK40" s="306">
        <v>0</v>
      </c>
      <c r="BL40" s="306">
        <v>0</v>
      </c>
    </row>
    <row r="41" spans="4:64" x14ac:dyDescent="0.15">
      <c r="D41" s="487"/>
      <c r="E41" s="304" t="s">
        <v>483</v>
      </c>
      <c r="F41" s="306">
        <v>1</v>
      </c>
      <c r="G41" s="306">
        <v>1</v>
      </c>
      <c r="H41" s="306">
        <v>1</v>
      </c>
      <c r="I41" s="306">
        <v>1</v>
      </c>
      <c r="J41" s="306">
        <v>1</v>
      </c>
      <c r="K41" s="306">
        <v>1</v>
      </c>
      <c r="L41" s="306">
        <v>0</v>
      </c>
      <c r="M41" s="306">
        <v>0</v>
      </c>
      <c r="N41" s="306">
        <v>0</v>
      </c>
      <c r="O41" s="306">
        <v>1</v>
      </c>
      <c r="P41" s="306">
        <v>0</v>
      </c>
      <c r="Q41" s="92"/>
      <c r="R41" s="306">
        <v>1</v>
      </c>
      <c r="S41" s="306">
        <v>1</v>
      </c>
      <c r="T41" s="306">
        <v>1</v>
      </c>
      <c r="U41" s="306">
        <v>1</v>
      </c>
      <c r="V41" s="306">
        <v>1</v>
      </c>
      <c r="W41" s="306">
        <v>1</v>
      </c>
      <c r="X41" s="306">
        <v>1</v>
      </c>
      <c r="Y41" s="306">
        <v>1</v>
      </c>
      <c r="Z41" s="306">
        <v>1</v>
      </c>
      <c r="AA41" s="306">
        <v>1</v>
      </c>
      <c r="AB41" s="306">
        <v>0</v>
      </c>
      <c r="AC41" s="306">
        <v>1</v>
      </c>
      <c r="AD41" s="92"/>
      <c r="AE41" s="306">
        <v>0</v>
      </c>
      <c r="AF41" s="306">
        <v>0</v>
      </c>
      <c r="AG41" s="306">
        <v>0</v>
      </c>
      <c r="AH41" s="306">
        <v>0</v>
      </c>
      <c r="AI41" s="306">
        <v>0</v>
      </c>
      <c r="AJ41" s="306">
        <v>0</v>
      </c>
      <c r="AK41" s="306">
        <v>0</v>
      </c>
      <c r="AL41" s="306">
        <v>0</v>
      </c>
      <c r="AM41" s="306">
        <v>0</v>
      </c>
      <c r="AN41" s="306">
        <v>0</v>
      </c>
      <c r="AO41" s="306">
        <v>0</v>
      </c>
      <c r="AP41" s="306">
        <v>0</v>
      </c>
      <c r="AQ41" s="306">
        <v>0</v>
      </c>
      <c r="AR41" s="306">
        <v>1</v>
      </c>
      <c r="AT41" s="306">
        <v>0</v>
      </c>
      <c r="AU41" s="306">
        <v>0</v>
      </c>
      <c r="AV41" s="306">
        <v>0</v>
      </c>
      <c r="AW41" s="306">
        <v>0</v>
      </c>
      <c r="AX41" s="306">
        <v>1</v>
      </c>
      <c r="AZ41" s="306">
        <v>1</v>
      </c>
      <c r="BA41" s="306">
        <v>0</v>
      </c>
      <c r="BB41" s="306">
        <v>0</v>
      </c>
      <c r="BC41" s="306">
        <v>0</v>
      </c>
      <c r="BD41" s="306">
        <v>0</v>
      </c>
      <c r="BF41" s="306">
        <v>1</v>
      </c>
      <c r="BG41" s="306">
        <v>0</v>
      </c>
      <c r="BH41" s="306">
        <v>0</v>
      </c>
      <c r="BI41" s="306">
        <v>0</v>
      </c>
      <c r="BJ41" s="306">
        <v>0</v>
      </c>
      <c r="BK41" s="306">
        <v>0</v>
      </c>
      <c r="BL41" s="306">
        <v>0</v>
      </c>
    </row>
    <row r="42" spans="4:64" x14ac:dyDescent="0.15">
      <c r="D42" s="487"/>
      <c r="E42" s="304" t="s">
        <v>614</v>
      </c>
      <c r="F42" s="306">
        <v>1</v>
      </c>
      <c r="G42" s="306">
        <v>1</v>
      </c>
      <c r="H42" s="306">
        <v>1</v>
      </c>
      <c r="I42" s="306">
        <v>1</v>
      </c>
      <c r="J42" s="306">
        <v>1</v>
      </c>
      <c r="K42" s="306">
        <v>1</v>
      </c>
      <c r="L42" s="306">
        <v>0</v>
      </c>
      <c r="M42" s="306">
        <v>0</v>
      </c>
      <c r="N42" s="306">
        <v>0</v>
      </c>
      <c r="O42" s="306">
        <v>1</v>
      </c>
      <c r="P42" s="306">
        <v>0</v>
      </c>
      <c r="Q42" s="92"/>
      <c r="R42" s="306">
        <v>1</v>
      </c>
      <c r="S42" s="306">
        <v>1</v>
      </c>
      <c r="T42" s="306">
        <v>1</v>
      </c>
      <c r="U42" s="306">
        <v>1</v>
      </c>
      <c r="V42" s="306">
        <v>1</v>
      </c>
      <c r="W42" s="306">
        <v>1</v>
      </c>
      <c r="X42" s="306">
        <v>1</v>
      </c>
      <c r="Y42" s="306">
        <v>1</v>
      </c>
      <c r="Z42" s="306">
        <v>1</v>
      </c>
      <c r="AA42" s="306">
        <v>1</v>
      </c>
      <c r="AB42" s="306">
        <v>0</v>
      </c>
      <c r="AC42" s="306">
        <v>1</v>
      </c>
      <c r="AD42" s="92"/>
      <c r="AE42" s="306">
        <v>0</v>
      </c>
      <c r="AF42" s="306">
        <v>0</v>
      </c>
      <c r="AG42" s="306">
        <v>0</v>
      </c>
      <c r="AH42" s="306">
        <v>0</v>
      </c>
      <c r="AI42" s="306">
        <v>0</v>
      </c>
      <c r="AJ42" s="306">
        <v>0</v>
      </c>
      <c r="AK42" s="306">
        <v>0</v>
      </c>
      <c r="AL42" s="306">
        <v>0</v>
      </c>
      <c r="AM42" s="306">
        <v>0</v>
      </c>
      <c r="AN42" s="306">
        <v>0</v>
      </c>
      <c r="AO42" s="306">
        <v>0</v>
      </c>
      <c r="AP42" s="306">
        <v>0</v>
      </c>
      <c r="AQ42" s="306">
        <v>0</v>
      </c>
      <c r="AR42" s="306">
        <v>1</v>
      </c>
      <c r="AT42" s="306">
        <v>0</v>
      </c>
      <c r="AU42" s="306">
        <v>0</v>
      </c>
      <c r="AV42" s="306">
        <v>0</v>
      </c>
      <c r="AW42" s="306">
        <v>0</v>
      </c>
      <c r="AX42" s="306">
        <v>1</v>
      </c>
      <c r="AZ42" s="306">
        <v>1</v>
      </c>
      <c r="BA42" s="306">
        <v>0</v>
      </c>
      <c r="BB42" s="306">
        <v>0</v>
      </c>
      <c r="BC42" s="306">
        <v>0</v>
      </c>
      <c r="BD42" s="306">
        <v>0</v>
      </c>
      <c r="BF42" s="306">
        <v>1</v>
      </c>
      <c r="BG42" s="306">
        <v>0</v>
      </c>
      <c r="BH42" s="306">
        <v>0</v>
      </c>
      <c r="BI42" s="306">
        <v>0</v>
      </c>
      <c r="BJ42" s="306">
        <v>0</v>
      </c>
      <c r="BK42" s="306">
        <v>0</v>
      </c>
      <c r="BL42" s="306">
        <v>0</v>
      </c>
    </row>
    <row r="43" spans="4:64" x14ac:dyDescent="0.15">
      <c r="D43" s="487"/>
      <c r="E43" s="304" t="s">
        <v>427</v>
      </c>
      <c r="F43" s="306">
        <v>1</v>
      </c>
      <c r="G43" s="306">
        <v>1</v>
      </c>
      <c r="H43" s="306">
        <v>1</v>
      </c>
      <c r="I43" s="306">
        <v>1</v>
      </c>
      <c r="J43" s="306">
        <v>1</v>
      </c>
      <c r="K43" s="306">
        <v>1</v>
      </c>
      <c r="L43" s="306">
        <v>0</v>
      </c>
      <c r="M43" s="306">
        <v>0</v>
      </c>
      <c r="N43" s="306">
        <v>0</v>
      </c>
      <c r="O43" s="306">
        <v>1</v>
      </c>
      <c r="P43" s="306">
        <v>0</v>
      </c>
      <c r="Q43" s="92"/>
      <c r="R43" s="306">
        <v>1</v>
      </c>
      <c r="S43" s="306">
        <v>1</v>
      </c>
      <c r="T43" s="306">
        <v>1</v>
      </c>
      <c r="U43" s="306">
        <v>1</v>
      </c>
      <c r="V43" s="306">
        <v>1</v>
      </c>
      <c r="W43" s="306">
        <v>1</v>
      </c>
      <c r="X43" s="306">
        <v>1</v>
      </c>
      <c r="Y43" s="306">
        <v>1</v>
      </c>
      <c r="Z43" s="306">
        <v>1</v>
      </c>
      <c r="AA43" s="306">
        <v>1</v>
      </c>
      <c r="AB43" s="306">
        <v>0</v>
      </c>
      <c r="AC43" s="306">
        <v>1</v>
      </c>
      <c r="AD43" s="92"/>
      <c r="AE43" s="306">
        <v>0</v>
      </c>
      <c r="AF43" s="306">
        <v>0</v>
      </c>
      <c r="AG43" s="306">
        <v>0</v>
      </c>
      <c r="AH43" s="306">
        <v>0</v>
      </c>
      <c r="AI43" s="306">
        <v>0</v>
      </c>
      <c r="AJ43" s="306">
        <v>0</v>
      </c>
      <c r="AK43" s="306">
        <v>0</v>
      </c>
      <c r="AL43" s="306">
        <v>0</v>
      </c>
      <c r="AM43" s="306">
        <v>0</v>
      </c>
      <c r="AN43" s="306">
        <v>0</v>
      </c>
      <c r="AO43" s="306">
        <v>0</v>
      </c>
      <c r="AP43" s="306">
        <v>0</v>
      </c>
      <c r="AQ43" s="306">
        <v>0</v>
      </c>
      <c r="AR43" s="306">
        <v>1</v>
      </c>
      <c r="AT43" s="306">
        <v>0</v>
      </c>
      <c r="AU43" s="306">
        <v>0</v>
      </c>
      <c r="AV43" s="306">
        <v>0</v>
      </c>
      <c r="AW43" s="306">
        <v>0</v>
      </c>
      <c r="AX43" s="306">
        <v>1</v>
      </c>
      <c r="AZ43" s="306">
        <v>1</v>
      </c>
      <c r="BA43" s="306">
        <v>0</v>
      </c>
      <c r="BB43" s="306">
        <v>0</v>
      </c>
      <c r="BC43" s="306">
        <v>0</v>
      </c>
      <c r="BD43" s="306">
        <v>0</v>
      </c>
      <c r="BF43" s="306">
        <v>1</v>
      </c>
      <c r="BG43" s="306">
        <v>0</v>
      </c>
      <c r="BH43" s="306">
        <v>0</v>
      </c>
      <c r="BI43" s="306">
        <v>0</v>
      </c>
      <c r="BJ43" s="306">
        <v>0</v>
      </c>
      <c r="BK43" s="306">
        <v>0</v>
      </c>
      <c r="BL43" s="306">
        <v>0</v>
      </c>
    </row>
    <row r="44" spans="4:64" x14ac:dyDescent="0.15">
      <c r="D44" s="293"/>
      <c r="E44" s="304" t="s">
        <v>630</v>
      </c>
      <c r="F44" s="306">
        <v>0</v>
      </c>
      <c r="G44" s="306">
        <v>0</v>
      </c>
      <c r="H44" s="306">
        <v>0</v>
      </c>
      <c r="I44" s="306">
        <v>0</v>
      </c>
      <c r="J44" s="306">
        <v>0</v>
      </c>
      <c r="K44" s="306">
        <v>0</v>
      </c>
      <c r="L44" s="306">
        <v>0</v>
      </c>
      <c r="M44" s="306">
        <v>0</v>
      </c>
      <c r="N44" s="306">
        <v>0</v>
      </c>
      <c r="O44" s="306">
        <v>0</v>
      </c>
      <c r="P44" s="306">
        <v>1</v>
      </c>
      <c r="Q44" s="92"/>
      <c r="R44" s="306">
        <v>1</v>
      </c>
      <c r="S44" s="306">
        <v>1</v>
      </c>
      <c r="T44" s="306">
        <v>1</v>
      </c>
      <c r="U44" s="306">
        <v>1</v>
      </c>
      <c r="V44" s="306">
        <v>1</v>
      </c>
      <c r="W44" s="306">
        <v>1</v>
      </c>
      <c r="X44" s="306">
        <v>1</v>
      </c>
      <c r="Y44" s="306">
        <v>1</v>
      </c>
      <c r="Z44" s="306">
        <v>1</v>
      </c>
      <c r="AA44" s="306">
        <v>1</v>
      </c>
      <c r="AB44" s="306">
        <v>0</v>
      </c>
      <c r="AC44" s="306">
        <v>1</v>
      </c>
      <c r="AD44" s="92"/>
      <c r="AE44" s="306">
        <v>0</v>
      </c>
      <c r="AF44" s="306">
        <v>0</v>
      </c>
      <c r="AG44" s="306">
        <v>0</v>
      </c>
      <c r="AH44" s="306">
        <v>0</v>
      </c>
      <c r="AI44" s="306">
        <v>0</v>
      </c>
      <c r="AJ44" s="306">
        <v>0</v>
      </c>
      <c r="AK44" s="306">
        <v>0</v>
      </c>
      <c r="AL44" s="306">
        <v>0</v>
      </c>
      <c r="AM44" s="306">
        <v>0</v>
      </c>
      <c r="AN44" s="306">
        <v>0</v>
      </c>
      <c r="AO44" s="306">
        <v>0</v>
      </c>
      <c r="AP44" s="306">
        <v>0</v>
      </c>
      <c r="AQ44" s="306">
        <v>0</v>
      </c>
      <c r="AR44" s="306">
        <v>1</v>
      </c>
      <c r="AT44" s="306">
        <v>0</v>
      </c>
      <c r="AU44" s="306">
        <v>0</v>
      </c>
      <c r="AV44" s="306">
        <v>0</v>
      </c>
      <c r="AW44" s="306">
        <v>0</v>
      </c>
      <c r="AX44" s="306">
        <v>1</v>
      </c>
      <c r="AZ44" s="306">
        <v>1</v>
      </c>
      <c r="BA44" s="306">
        <v>0</v>
      </c>
      <c r="BB44" s="306">
        <v>0</v>
      </c>
      <c r="BC44" s="306">
        <v>0</v>
      </c>
      <c r="BD44" s="306">
        <v>0</v>
      </c>
      <c r="BF44" s="306">
        <v>1</v>
      </c>
      <c r="BG44" s="306">
        <v>0</v>
      </c>
      <c r="BH44" s="306">
        <v>0</v>
      </c>
      <c r="BI44" s="306">
        <v>0</v>
      </c>
      <c r="BJ44" s="306">
        <v>0</v>
      </c>
      <c r="BK44" s="306">
        <v>0</v>
      </c>
      <c r="BL44" s="306">
        <v>0</v>
      </c>
    </row>
    <row r="45" spans="4:64" x14ac:dyDescent="0.15">
      <c r="D45" s="293"/>
      <c r="E45" s="304" t="s">
        <v>589</v>
      </c>
      <c r="F45" s="306">
        <v>0</v>
      </c>
      <c r="G45" s="306">
        <v>0</v>
      </c>
      <c r="H45" s="306">
        <v>0</v>
      </c>
      <c r="I45" s="306">
        <v>0</v>
      </c>
      <c r="J45" s="306">
        <v>0</v>
      </c>
      <c r="K45" s="306">
        <v>0</v>
      </c>
      <c r="L45" s="306">
        <v>0</v>
      </c>
      <c r="M45" s="306">
        <v>0</v>
      </c>
      <c r="N45" s="306">
        <v>0</v>
      </c>
      <c r="O45" s="306">
        <v>0</v>
      </c>
      <c r="P45" s="306">
        <v>1</v>
      </c>
      <c r="Q45" s="92"/>
      <c r="R45" s="92">
        <v>1</v>
      </c>
      <c r="S45" s="92">
        <v>1</v>
      </c>
      <c r="T45" s="92">
        <v>1</v>
      </c>
      <c r="U45" s="92">
        <v>1</v>
      </c>
      <c r="V45" s="92">
        <v>1</v>
      </c>
      <c r="W45" s="92">
        <v>1</v>
      </c>
      <c r="X45" s="92">
        <v>1</v>
      </c>
      <c r="Y45" s="92">
        <v>1</v>
      </c>
      <c r="Z45" s="92">
        <v>1</v>
      </c>
      <c r="AA45" s="92">
        <v>1</v>
      </c>
      <c r="AB45" s="92">
        <v>0</v>
      </c>
      <c r="AC45" s="92">
        <v>1</v>
      </c>
      <c r="AD45" s="92"/>
      <c r="AE45" s="306">
        <v>0</v>
      </c>
      <c r="AF45" s="306">
        <v>0</v>
      </c>
      <c r="AG45" s="306">
        <v>0</v>
      </c>
      <c r="AH45" s="306">
        <v>0</v>
      </c>
      <c r="AI45" s="306">
        <v>0</v>
      </c>
      <c r="AJ45" s="306">
        <v>0</v>
      </c>
      <c r="AK45" s="306">
        <v>0</v>
      </c>
      <c r="AL45" s="306">
        <v>0</v>
      </c>
      <c r="AM45" s="306">
        <v>0</v>
      </c>
      <c r="AN45" s="306">
        <v>0</v>
      </c>
      <c r="AO45" s="306">
        <v>0</v>
      </c>
      <c r="AP45" s="306">
        <v>0</v>
      </c>
      <c r="AQ45" s="306">
        <v>0</v>
      </c>
      <c r="AR45" s="306">
        <v>1</v>
      </c>
      <c r="AT45" s="306">
        <v>0</v>
      </c>
      <c r="AU45" s="306">
        <v>0</v>
      </c>
      <c r="AV45" s="306">
        <v>0</v>
      </c>
      <c r="AW45" s="306">
        <v>0</v>
      </c>
      <c r="AX45" s="306">
        <v>1</v>
      </c>
      <c r="AZ45" s="306">
        <v>1</v>
      </c>
      <c r="BA45" s="306">
        <v>0</v>
      </c>
      <c r="BB45" s="306">
        <v>0</v>
      </c>
      <c r="BC45" s="306">
        <v>0</v>
      </c>
      <c r="BD45" s="306">
        <v>0</v>
      </c>
      <c r="BF45" s="306">
        <v>1</v>
      </c>
      <c r="BG45" s="306">
        <v>0</v>
      </c>
      <c r="BH45" s="306">
        <v>0</v>
      </c>
      <c r="BI45" s="306">
        <v>0</v>
      </c>
      <c r="BJ45" s="306">
        <v>0</v>
      </c>
      <c r="BK45" s="306">
        <v>0</v>
      </c>
      <c r="BL45" s="306">
        <v>0</v>
      </c>
    </row>
    <row r="47" spans="4:64" x14ac:dyDescent="0.15">
      <c r="F47" s="489" t="s">
        <v>500</v>
      </c>
      <c r="G47" s="489"/>
      <c r="H47" s="489"/>
      <c r="I47" s="489"/>
      <c r="J47" s="489"/>
      <c r="K47" s="489"/>
      <c r="L47" s="489"/>
      <c r="M47" s="489"/>
      <c r="N47" s="489"/>
      <c r="O47" s="489"/>
      <c r="P47" s="489"/>
    </row>
    <row r="48" spans="4:64" x14ac:dyDescent="0.15">
      <c r="F48" s="304" t="s">
        <v>631</v>
      </c>
      <c r="G48" s="304" t="s">
        <v>632</v>
      </c>
      <c r="H48" s="304" t="s">
        <v>633</v>
      </c>
      <c r="I48" s="304" t="s">
        <v>498</v>
      </c>
      <c r="J48" s="304" t="s">
        <v>585</v>
      </c>
      <c r="K48" s="304" t="s">
        <v>586</v>
      </c>
      <c r="L48" s="304" t="s">
        <v>587</v>
      </c>
      <c r="M48" s="304" t="s">
        <v>588</v>
      </c>
      <c r="N48" s="304" t="s">
        <v>372</v>
      </c>
      <c r="O48" s="304" t="s">
        <v>373</v>
      </c>
      <c r="P48" s="304" t="s">
        <v>374</v>
      </c>
    </row>
    <row r="49" spans="1:16" x14ac:dyDescent="0.15">
      <c r="A49" s="304" t="s">
        <v>64</v>
      </c>
      <c r="B49" s="304">
        <f>IF(OR(c.panel=0,c.species=0),0,INDEX(vt.panel.species,c.panel,c.species))</f>
        <v>0</v>
      </c>
      <c r="D49" s="490" t="s">
        <v>63</v>
      </c>
      <c r="E49" s="304" t="s">
        <v>207</v>
      </c>
      <c r="F49" s="307">
        <v>1</v>
      </c>
      <c r="G49" s="307">
        <v>1</v>
      </c>
      <c r="H49" s="307">
        <v>1</v>
      </c>
      <c r="I49" s="307">
        <v>1</v>
      </c>
      <c r="J49" s="307">
        <v>1</v>
      </c>
      <c r="K49" s="307">
        <v>1</v>
      </c>
      <c r="L49" s="307">
        <v>1</v>
      </c>
      <c r="M49" s="307">
        <v>1</v>
      </c>
      <c r="N49" s="307">
        <v>1</v>
      </c>
      <c r="O49" s="307">
        <v>1</v>
      </c>
      <c r="P49" s="307">
        <v>1</v>
      </c>
    </row>
    <row r="50" spans="1:16" x14ac:dyDescent="0.15">
      <c r="D50" s="490"/>
      <c r="E50" s="304" t="s">
        <v>616</v>
      </c>
      <c r="F50" s="307">
        <v>1</v>
      </c>
      <c r="G50" s="307">
        <v>1</v>
      </c>
      <c r="H50" s="307">
        <v>1</v>
      </c>
      <c r="I50" s="307">
        <v>1</v>
      </c>
      <c r="J50" s="307">
        <v>1</v>
      </c>
      <c r="K50" s="307">
        <v>1</v>
      </c>
      <c r="L50" s="307">
        <v>1</v>
      </c>
      <c r="M50" s="307">
        <v>1</v>
      </c>
      <c r="N50" s="307">
        <v>1</v>
      </c>
      <c r="O50" s="307">
        <v>1</v>
      </c>
      <c r="P50" s="307">
        <v>1</v>
      </c>
    </row>
    <row r="51" spans="1:16" x14ac:dyDescent="0.15">
      <c r="D51" s="490"/>
      <c r="E51" s="304" t="s">
        <v>122</v>
      </c>
      <c r="F51" s="307">
        <v>1</v>
      </c>
      <c r="G51" s="307">
        <v>1</v>
      </c>
      <c r="H51" s="307">
        <v>1</v>
      </c>
      <c r="I51" s="307">
        <v>1</v>
      </c>
      <c r="J51" s="307">
        <v>1</v>
      </c>
      <c r="K51" s="307">
        <v>1</v>
      </c>
      <c r="L51" s="307">
        <v>1</v>
      </c>
      <c r="M51" s="307">
        <v>1</v>
      </c>
      <c r="N51" s="307">
        <v>1</v>
      </c>
      <c r="O51" s="307">
        <v>1</v>
      </c>
      <c r="P51" s="307">
        <v>1</v>
      </c>
    </row>
    <row r="52" spans="1:16" x14ac:dyDescent="0.15">
      <c r="D52" s="490"/>
      <c r="E52" s="304" t="s">
        <v>123</v>
      </c>
      <c r="F52" s="307">
        <v>1</v>
      </c>
      <c r="G52" s="307">
        <v>1</v>
      </c>
      <c r="H52" s="307">
        <v>1</v>
      </c>
      <c r="I52" s="307">
        <v>1</v>
      </c>
      <c r="J52" s="307">
        <v>1</v>
      </c>
      <c r="K52" s="307">
        <v>1</v>
      </c>
      <c r="L52" s="307">
        <v>1</v>
      </c>
      <c r="M52" s="307">
        <v>1</v>
      </c>
      <c r="N52" s="307">
        <v>1</v>
      </c>
      <c r="O52" s="307">
        <v>1</v>
      </c>
      <c r="P52" s="307">
        <v>1</v>
      </c>
    </row>
    <row r="53" spans="1:16" x14ac:dyDescent="0.15">
      <c r="D53" s="490"/>
      <c r="E53" s="304" t="s">
        <v>124</v>
      </c>
      <c r="F53" s="307">
        <v>1</v>
      </c>
      <c r="G53" s="307">
        <v>1</v>
      </c>
      <c r="H53" s="307">
        <v>1</v>
      </c>
      <c r="I53" s="307">
        <v>1</v>
      </c>
      <c r="J53" s="307">
        <v>1</v>
      </c>
      <c r="K53" s="307">
        <v>1</v>
      </c>
      <c r="L53" s="307">
        <v>1</v>
      </c>
      <c r="M53" s="307">
        <v>1</v>
      </c>
      <c r="N53" s="307">
        <v>1</v>
      </c>
      <c r="O53" s="307">
        <v>1</v>
      </c>
      <c r="P53" s="307">
        <v>1</v>
      </c>
    </row>
    <row r="54" spans="1:16" x14ac:dyDescent="0.15">
      <c r="D54" s="490"/>
      <c r="E54" s="304" t="s">
        <v>293</v>
      </c>
      <c r="F54" s="307">
        <v>1</v>
      </c>
      <c r="G54" s="307">
        <v>1</v>
      </c>
      <c r="H54" s="307">
        <v>1</v>
      </c>
      <c r="I54" s="307">
        <v>1</v>
      </c>
      <c r="J54" s="307">
        <v>1</v>
      </c>
      <c r="K54" s="307">
        <v>1</v>
      </c>
      <c r="L54" s="307">
        <v>1</v>
      </c>
      <c r="M54" s="307">
        <v>1</v>
      </c>
      <c r="N54" s="307">
        <v>1</v>
      </c>
      <c r="O54" s="307">
        <v>1</v>
      </c>
      <c r="P54" s="307">
        <v>1</v>
      </c>
    </row>
    <row r="55" spans="1:16" x14ac:dyDescent="0.15">
      <c r="D55" s="490"/>
      <c r="E55" s="304" t="s">
        <v>477</v>
      </c>
      <c r="F55" s="307">
        <v>1</v>
      </c>
      <c r="G55" s="307">
        <v>1</v>
      </c>
      <c r="H55" s="307">
        <v>1</v>
      </c>
      <c r="I55" s="307">
        <v>1</v>
      </c>
      <c r="J55" s="307">
        <v>1</v>
      </c>
      <c r="K55" s="307">
        <v>1</v>
      </c>
      <c r="L55" s="307">
        <v>1</v>
      </c>
      <c r="M55" s="307">
        <v>1</v>
      </c>
      <c r="N55" s="307">
        <v>1</v>
      </c>
      <c r="O55" s="307">
        <v>1</v>
      </c>
      <c r="P55" s="307">
        <v>1</v>
      </c>
    </row>
    <row r="56" spans="1:16" x14ac:dyDescent="0.15">
      <c r="D56" s="490"/>
      <c r="E56" s="304" t="s">
        <v>310</v>
      </c>
      <c r="F56" s="307">
        <v>1</v>
      </c>
      <c r="G56" s="307">
        <v>1</v>
      </c>
      <c r="H56" s="307">
        <v>1</v>
      </c>
      <c r="I56" s="307">
        <v>1</v>
      </c>
      <c r="J56" s="307">
        <v>1</v>
      </c>
      <c r="K56" s="307">
        <v>1</v>
      </c>
      <c r="L56" s="307">
        <v>1</v>
      </c>
      <c r="M56" s="307">
        <v>1</v>
      </c>
      <c r="N56" s="307">
        <v>1</v>
      </c>
      <c r="O56" s="307">
        <v>1</v>
      </c>
      <c r="P56" s="307">
        <v>1</v>
      </c>
    </row>
    <row r="57" spans="1:16" x14ac:dyDescent="0.15">
      <c r="D57" s="490"/>
      <c r="E57" s="304" t="s">
        <v>61</v>
      </c>
      <c r="F57" s="307">
        <v>1</v>
      </c>
      <c r="G57" s="307">
        <v>1</v>
      </c>
      <c r="H57" s="307">
        <v>1</v>
      </c>
      <c r="I57" s="307">
        <v>1</v>
      </c>
      <c r="J57" s="307">
        <v>1</v>
      </c>
      <c r="K57" s="307">
        <v>1</v>
      </c>
      <c r="L57" s="307">
        <v>1</v>
      </c>
      <c r="M57" s="307">
        <v>1</v>
      </c>
      <c r="N57" s="307">
        <v>1</v>
      </c>
      <c r="O57" s="307">
        <v>1</v>
      </c>
      <c r="P57" s="307">
        <v>1</v>
      </c>
    </row>
    <row r="58" spans="1:16" x14ac:dyDescent="0.15">
      <c r="D58" s="490"/>
      <c r="E58" s="304" t="s">
        <v>312</v>
      </c>
      <c r="F58" s="307">
        <v>1</v>
      </c>
      <c r="G58" s="307">
        <v>1</v>
      </c>
      <c r="H58" s="307">
        <v>1</v>
      </c>
      <c r="I58" s="307">
        <v>1</v>
      </c>
      <c r="J58" s="307">
        <v>1</v>
      </c>
      <c r="K58" s="307">
        <v>1</v>
      </c>
      <c r="L58" s="307">
        <v>1</v>
      </c>
      <c r="M58" s="307">
        <v>1</v>
      </c>
      <c r="N58" s="307">
        <v>1</v>
      </c>
      <c r="O58" s="307">
        <v>1</v>
      </c>
      <c r="P58" s="307">
        <v>1</v>
      </c>
    </row>
    <row r="59" spans="1:16" x14ac:dyDescent="0.15">
      <c r="D59" s="490"/>
      <c r="E59" s="304" t="s">
        <v>62</v>
      </c>
      <c r="F59" s="307">
        <v>1</v>
      </c>
      <c r="G59" s="307">
        <v>1</v>
      </c>
      <c r="H59" s="307">
        <v>1</v>
      </c>
      <c r="I59" s="307">
        <v>1</v>
      </c>
      <c r="J59" s="307">
        <v>1</v>
      </c>
      <c r="K59" s="307">
        <v>1</v>
      </c>
      <c r="L59" s="307">
        <v>1</v>
      </c>
      <c r="M59" s="307">
        <v>1</v>
      </c>
      <c r="N59" s="307">
        <v>1</v>
      </c>
      <c r="O59" s="307">
        <v>1</v>
      </c>
      <c r="P59" s="307">
        <v>0</v>
      </c>
    </row>
    <row r="60" spans="1:16" x14ac:dyDescent="0.15">
      <c r="D60" s="490"/>
      <c r="E60" s="304" t="s">
        <v>206</v>
      </c>
      <c r="F60" s="307">
        <v>1</v>
      </c>
      <c r="G60" s="307">
        <v>1</v>
      </c>
      <c r="H60" s="307">
        <v>1</v>
      </c>
      <c r="I60" s="307">
        <v>1</v>
      </c>
      <c r="J60" s="307">
        <v>1</v>
      </c>
      <c r="K60" s="307">
        <v>1</v>
      </c>
      <c r="L60" s="307">
        <v>1</v>
      </c>
      <c r="M60" s="307">
        <v>1</v>
      </c>
      <c r="N60" s="307">
        <v>1</v>
      </c>
      <c r="O60" s="307">
        <v>1</v>
      </c>
      <c r="P60" s="307">
        <v>1</v>
      </c>
    </row>
    <row r="63" spans="1:16" x14ac:dyDescent="0.15">
      <c r="F63" s="489" t="s">
        <v>500</v>
      </c>
      <c r="G63" s="489"/>
      <c r="H63" s="489"/>
      <c r="I63" s="489"/>
      <c r="J63" s="489"/>
      <c r="K63" s="489"/>
      <c r="L63" s="489"/>
      <c r="M63" s="489"/>
      <c r="N63" s="489"/>
      <c r="O63" s="489"/>
      <c r="P63" s="489"/>
    </row>
    <row r="64" spans="1:16" x14ac:dyDescent="0.15">
      <c r="A64" s="304" t="s">
        <v>597</v>
      </c>
      <c r="B64" s="304">
        <f>IF(OR(c.sanding=0,c.species=0),0,INDEX(vt.sanding.species,c.sanding,c.species))</f>
        <v>0</v>
      </c>
      <c r="F64" s="304" t="s">
        <v>631</v>
      </c>
      <c r="G64" s="304" t="s">
        <v>632</v>
      </c>
      <c r="H64" s="304" t="s">
        <v>633</v>
      </c>
      <c r="I64" s="304" t="s">
        <v>498</v>
      </c>
      <c r="J64" s="304" t="s">
        <v>585</v>
      </c>
      <c r="K64" s="304" t="s">
        <v>586</v>
      </c>
      <c r="L64" s="304" t="s">
        <v>587</v>
      </c>
      <c r="M64" s="304" t="s">
        <v>588</v>
      </c>
      <c r="N64" s="304" t="s">
        <v>372</v>
      </c>
      <c r="O64" s="304" t="s">
        <v>373</v>
      </c>
      <c r="P64" s="304" t="s">
        <v>374</v>
      </c>
    </row>
    <row r="65" spans="1:32" x14ac:dyDescent="0.15">
      <c r="D65" s="492" t="s">
        <v>496</v>
      </c>
      <c r="E65" s="304" t="s">
        <v>583</v>
      </c>
      <c r="F65" s="307">
        <v>1</v>
      </c>
      <c r="G65" s="307">
        <v>1</v>
      </c>
      <c r="H65" s="307">
        <v>1</v>
      </c>
      <c r="I65" s="307">
        <v>1</v>
      </c>
      <c r="J65" s="307">
        <v>1</v>
      </c>
      <c r="K65" s="307">
        <v>1</v>
      </c>
      <c r="L65" s="307">
        <v>1</v>
      </c>
      <c r="M65" s="307">
        <v>1</v>
      </c>
      <c r="N65" s="307">
        <v>1</v>
      </c>
      <c r="O65" s="307">
        <v>1</v>
      </c>
      <c r="P65" s="307">
        <v>1</v>
      </c>
    </row>
    <row r="66" spans="1:32" x14ac:dyDescent="0.15">
      <c r="D66" s="492"/>
      <c r="E66" s="304" t="s">
        <v>300</v>
      </c>
      <c r="F66" s="307">
        <v>1</v>
      </c>
      <c r="G66" s="307">
        <v>1</v>
      </c>
      <c r="H66" s="307">
        <v>1</v>
      </c>
      <c r="I66" s="307">
        <v>1</v>
      </c>
      <c r="J66" s="307">
        <v>1</v>
      </c>
      <c r="K66" s="307">
        <v>1</v>
      </c>
      <c r="L66" s="307">
        <v>1</v>
      </c>
      <c r="M66" s="307">
        <v>1</v>
      </c>
      <c r="N66" s="307">
        <v>1</v>
      </c>
      <c r="O66" s="307">
        <v>0</v>
      </c>
      <c r="P66" s="307">
        <v>0</v>
      </c>
    </row>
    <row r="69" spans="1:32" x14ac:dyDescent="0.15">
      <c r="F69" s="489" t="s">
        <v>500</v>
      </c>
      <c r="G69" s="489"/>
      <c r="H69" s="489"/>
      <c r="I69" s="489"/>
      <c r="J69" s="489"/>
      <c r="K69" s="489"/>
      <c r="L69" s="489"/>
      <c r="M69" s="489"/>
      <c r="N69" s="489"/>
      <c r="O69" s="489"/>
      <c r="P69" s="489"/>
    </row>
    <row r="70" spans="1:32" x14ac:dyDescent="0.15">
      <c r="A70" s="304" t="s">
        <v>451</v>
      </c>
      <c r="B70" s="304">
        <f>IF(OR(c.finish=0,c.species=0),0,INDEX(vt.finish.species,c.finish,c.species))</f>
        <v>0</v>
      </c>
      <c r="F70" s="304" t="s">
        <v>631</v>
      </c>
      <c r="G70" s="304" t="s">
        <v>632</v>
      </c>
      <c r="H70" s="304" t="s">
        <v>633</v>
      </c>
      <c r="I70" s="304" t="s">
        <v>498</v>
      </c>
      <c r="J70" s="304" t="s">
        <v>585</v>
      </c>
      <c r="K70" s="304" t="s">
        <v>586</v>
      </c>
      <c r="L70" s="304" t="s">
        <v>587</v>
      </c>
      <c r="M70" s="304" t="s">
        <v>588</v>
      </c>
      <c r="N70" s="304" t="s">
        <v>372</v>
      </c>
      <c r="O70" s="304" t="s">
        <v>373</v>
      </c>
      <c r="P70" s="304" t="s">
        <v>374</v>
      </c>
    </row>
    <row r="71" spans="1:32" x14ac:dyDescent="0.15">
      <c r="D71" s="491" t="s">
        <v>584</v>
      </c>
      <c r="E71" s="304" t="s">
        <v>574</v>
      </c>
      <c r="F71" s="307">
        <v>1</v>
      </c>
      <c r="G71" s="307">
        <v>1</v>
      </c>
      <c r="H71" s="307">
        <v>1</v>
      </c>
      <c r="I71" s="307">
        <v>1</v>
      </c>
      <c r="J71" s="307">
        <v>1</v>
      </c>
      <c r="K71" s="307">
        <v>1</v>
      </c>
      <c r="L71" s="307">
        <v>1</v>
      </c>
      <c r="M71" s="307">
        <v>1</v>
      </c>
      <c r="N71" s="307">
        <v>1</v>
      </c>
      <c r="O71" s="307">
        <v>1</v>
      </c>
      <c r="P71" s="307">
        <v>1</v>
      </c>
    </row>
    <row r="72" spans="1:32" x14ac:dyDescent="0.15">
      <c r="D72" s="491"/>
      <c r="E72" s="304" t="s">
        <v>575</v>
      </c>
      <c r="F72" s="307">
        <v>1</v>
      </c>
      <c r="G72" s="307">
        <v>1</v>
      </c>
      <c r="H72" s="307">
        <v>1</v>
      </c>
      <c r="I72" s="307">
        <v>1</v>
      </c>
      <c r="J72" s="307">
        <v>1</v>
      </c>
      <c r="K72" s="307">
        <v>1</v>
      </c>
      <c r="L72" s="307">
        <v>0</v>
      </c>
      <c r="M72" s="307">
        <v>0</v>
      </c>
      <c r="N72" s="307">
        <v>0</v>
      </c>
      <c r="O72" s="307">
        <v>0</v>
      </c>
      <c r="P72" s="307">
        <v>0</v>
      </c>
    </row>
    <row r="73" spans="1:32" x14ac:dyDescent="0.15">
      <c r="D73" s="491"/>
      <c r="E73" s="304" t="s">
        <v>621</v>
      </c>
      <c r="F73" s="307">
        <v>1</v>
      </c>
      <c r="G73" s="307">
        <v>1</v>
      </c>
      <c r="H73" s="307">
        <v>1</v>
      </c>
      <c r="I73" s="307">
        <v>1</v>
      </c>
      <c r="J73" s="307">
        <v>1</v>
      </c>
      <c r="K73" s="307">
        <v>1</v>
      </c>
      <c r="L73" s="307">
        <v>0</v>
      </c>
      <c r="M73" s="307">
        <v>0</v>
      </c>
      <c r="N73" s="307">
        <v>0</v>
      </c>
      <c r="O73" s="307">
        <v>0</v>
      </c>
      <c r="P73" s="307">
        <v>0</v>
      </c>
    </row>
    <row r="74" spans="1:32" x14ac:dyDescent="0.15">
      <c r="D74" s="491"/>
      <c r="E74" s="304" t="s">
        <v>622</v>
      </c>
      <c r="F74" s="307">
        <v>1</v>
      </c>
      <c r="G74" s="307">
        <v>1</v>
      </c>
      <c r="H74" s="307">
        <v>1</v>
      </c>
      <c r="I74" s="307">
        <v>1</v>
      </c>
      <c r="J74" s="307">
        <v>1</v>
      </c>
      <c r="K74" s="307">
        <v>1</v>
      </c>
      <c r="L74" s="307">
        <v>0</v>
      </c>
      <c r="M74" s="307">
        <v>0</v>
      </c>
      <c r="N74" s="307">
        <v>0</v>
      </c>
      <c r="O74" s="307">
        <v>0</v>
      </c>
      <c r="P74" s="307">
        <v>0</v>
      </c>
    </row>
    <row r="75" spans="1:32" x14ac:dyDescent="0.15">
      <c r="D75" s="491"/>
      <c r="E75" s="304" t="s">
        <v>623</v>
      </c>
      <c r="F75" s="307">
        <v>1</v>
      </c>
      <c r="G75" s="307">
        <v>1</v>
      </c>
      <c r="H75" s="307">
        <v>1</v>
      </c>
      <c r="I75" s="307">
        <v>1</v>
      </c>
      <c r="J75" s="307">
        <v>1</v>
      </c>
      <c r="K75" s="307">
        <v>1</v>
      </c>
      <c r="L75" s="307">
        <v>0</v>
      </c>
      <c r="M75" s="307">
        <v>0</v>
      </c>
      <c r="N75" s="307">
        <v>0</v>
      </c>
      <c r="O75" s="307">
        <v>0</v>
      </c>
      <c r="P75" s="307">
        <v>0</v>
      </c>
    </row>
    <row r="76" spans="1:32" x14ac:dyDescent="0.15">
      <c r="D76" s="491"/>
      <c r="E76" s="304" t="s">
        <v>624</v>
      </c>
      <c r="F76" s="307">
        <v>1</v>
      </c>
      <c r="G76" s="307">
        <v>1</v>
      </c>
      <c r="H76" s="307">
        <v>1</v>
      </c>
      <c r="I76" s="307">
        <v>1</v>
      </c>
      <c r="J76" s="307">
        <v>1</v>
      </c>
      <c r="K76" s="307">
        <v>1</v>
      </c>
      <c r="L76" s="307">
        <v>0</v>
      </c>
      <c r="M76" s="307">
        <v>0</v>
      </c>
      <c r="N76" s="307">
        <v>0</v>
      </c>
      <c r="O76" s="307">
        <v>0</v>
      </c>
      <c r="P76" s="307">
        <v>0</v>
      </c>
    </row>
    <row r="77" spans="1:32" x14ac:dyDescent="0.15">
      <c r="D77" s="491"/>
      <c r="E77" s="304" t="s">
        <v>625</v>
      </c>
      <c r="F77" s="307">
        <v>1</v>
      </c>
      <c r="G77" s="307">
        <v>1</v>
      </c>
      <c r="H77" s="307">
        <v>1</v>
      </c>
      <c r="I77" s="307">
        <v>1</v>
      </c>
      <c r="J77" s="307">
        <v>1</v>
      </c>
      <c r="K77" s="307">
        <v>1</v>
      </c>
      <c r="L77" s="307">
        <v>0</v>
      </c>
      <c r="M77" s="307">
        <v>0</v>
      </c>
      <c r="N77" s="307">
        <v>0</v>
      </c>
      <c r="O77" s="307">
        <v>0</v>
      </c>
      <c r="P77" s="307">
        <v>0</v>
      </c>
    </row>
    <row r="78" spans="1:32" x14ac:dyDescent="0.15">
      <c r="D78" s="92"/>
    </row>
    <row r="80" spans="1:32" x14ac:dyDescent="0.15">
      <c r="F80" s="479" t="s">
        <v>103</v>
      </c>
      <c r="G80" s="479"/>
      <c r="H80" s="479"/>
      <c r="I80" s="479"/>
      <c r="J80" s="479"/>
      <c r="K80" s="479"/>
      <c r="L80" s="479"/>
      <c r="M80" s="479"/>
      <c r="N80" s="479"/>
      <c r="O80" s="479"/>
      <c r="P80" s="479"/>
      <c r="Q80" s="479"/>
      <c r="R80" s="479"/>
      <c r="T80" s="479" t="s">
        <v>609</v>
      </c>
      <c r="U80" s="479"/>
      <c r="V80" s="479"/>
      <c r="W80" s="479"/>
      <c r="X80" s="479"/>
      <c r="Y80" s="479"/>
      <c r="Z80" s="479"/>
      <c r="AA80" s="479"/>
      <c r="AB80" s="479"/>
      <c r="AC80" s="479"/>
      <c r="AD80" s="479"/>
      <c r="AE80" s="479"/>
      <c r="AF80" s="479"/>
    </row>
    <row r="81" spans="1:32" x14ac:dyDescent="0.15">
      <c r="A81" s="304" t="s">
        <v>105</v>
      </c>
      <c r="B81" s="304">
        <f>IF(c.style&lt;5,99,IF(c.df.opt&lt;21,0,INDEX(vt.mdf5.rail,c.stile-20,c.df.opt-20)))</f>
        <v>99</v>
      </c>
      <c r="F81" s="304" t="s">
        <v>26</v>
      </c>
      <c r="G81" s="304" t="s">
        <v>27</v>
      </c>
      <c r="H81" s="304" t="s">
        <v>28</v>
      </c>
      <c r="I81" s="304" t="s">
        <v>29</v>
      </c>
      <c r="J81" s="304" t="s">
        <v>30</v>
      </c>
      <c r="K81" s="304" t="s">
        <v>31</v>
      </c>
      <c r="L81" s="304" t="s">
        <v>32</v>
      </c>
      <c r="M81" s="304" t="s">
        <v>33</v>
      </c>
      <c r="N81" s="304" t="s">
        <v>34</v>
      </c>
      <c r="O81" s="304" t="s">
        <v>35</v>
      </c>
      <c r="P81" s="304" t="s">
        <v>36</v>
      </c>
      <c r="Q81" s="304" t="s">
        <v>37</v>
      </c>
      <c r="R81" s="304" t="s">
        <v>102</v>
      </c>
      <c r="T81" s="304" t="s">
        <v>26</v>
      </c>
      <c r="U81" s="304" t="s">
        <v>27</v>
      </c>
      <c r="V81" s="304" t="s">
        <v>28</v>
      </c>
      <c r="W81" s="304" t="s">
        <v>29</v>
      </c>
      <c r="X81" s="304" t="s">
        <v>30</v>
      </c>
      <c r="Y81" s="304" t="s">
        <v>31</v>
      </c>
      <c r="Z81" s="304" t="s">
        <v>32</v>
      </c>
      <c r="AA81" s="304" t="s">
        <v>33</v>
      </c>
      <c r="AB81" s="304" t="s">
        <v>34</v>
      </c>
      <c r="AC81" s="304" t="s">
        <v>35</v>
      </c>
      <c r="AD81" s="304" t="s">
        <v>36</v>
      </c>
      <c r="AE81" s="304" t="s">
        <v>37</v>
      </c>
      <c r="AF81" s="304" t="s">
        <v>102</v>
      </c>
    </row>
    <row r="82" spans="1:32" x14ac:dyDescent="0.15">
      <c r="A82" s="304" t="s">
        <v>106</v>
      </c>
      <c r="B82" s="304">
        <f>IF(c.style&lt;5,99,IF(c.pp.opt&lt;21,0,INDEX(vt.mdpp.rail,c.stile-20,c.pp.opt-20)))</f>
        <v>99</v>
      </c>
      <c r="D82" s="487" t="s">
        <v>104</v>
      </c>
      <c r="E82" s="304" t="s">
        <v>13</v>
      </c>
      <c r="F82" s="304">
        <v>0</v>
      </c>
      <c r="G82" s="304">
        <v>1</v>
      </c>
      <c r="H82" s="304">
        <v>1</v>
      </c>
      <c r="I82" s="304">
        <v>0</v>
      </c>
      <c r="J82" s="304">
        <v>0</v>
      </c>
      <c r="K82" s="304">
        <v>0</v>
      </c>
      <c r="L82" s="304">
        <v>0</v>
      </c>
      <c r="M82" s="304">
        <v>0</v>
      </c>
      <c r="N82" s="304">
        <v>0</v>
      </c>
      <c r="O82" s="304">
        <v>0</v>
      </c>
      <c r="P82" s="304">
        <v>0</v>
      </c>
      <c r="Q82" s="304">
        <v>0</v>
      </c>
      <c r="R82" s="304">
        <v>0</v>
      </c>
      <c r="T82" s="304">
        <v>1</v>
      </c>
      <c r="U82" s="304">
        <v>1</v>
      </c>
      <c r="V82" s="304">
        <v>0</v>
      </c>
      <c r="W82" s="304">
        <v>0</v>
      </c>
      <c r="X82" s="304">
        <v>0</v>
      </c>
      <c r="Y82" s="304">
        <v>0</v>
      </c>
      <c r="Z82" s="304">
        <v>0</v>
      </c>
      <c r="AA82" s="304">
        <v>0</v>
      </c>
      <c r="AB82" s="304">
        <v>0</v>
      </c>
      <c r="AC82" s="304">
        <v>0</v>
      </c>
      <c r="AD82" s="304">
        <v>0</v>
      </c>
      <c r="AE82" s="304">
        <v>0</v>
      </c>
      <c r="AF82" s="304">
        <v>0</v>
      </c>
    </row>
    <row r="83" spans="1:32" x14ac:dyDescent="0.15">
      <c r="D83" s="487"/>
      <c r="E83" s="304" t="s">
        <v>14</v>
      </c>
      <c r="F83" s="304">
        <v>0</v>
      </c>
      <c r="G83" s="304">
        <v>0</v>
      </c>
      <c r="H83" s="304">
        <v>1</v>
      </c>
      <c r="I83" s="304">
        <v>0</v>
      </c>
      <c r="J83" s="304">
        <v>0</v>
      </c>
      <c r="K83" s="304">
        <v>0</v>
      </c>
      <c r="L83" s="304">
        <v>0</v>
      </c>
      <c r="M83" s="304">
        <v>0</v>
      </c>
      <c r="N83" s="304">
        <v>0</v>
      </c>
      <c r="O83" s="304">
        <v>0</v>
      </c>
      <c r="P83" s="304">
        <v>0</v>
      </c>
      <c r="Q83" s="304">
        <v>0</v>
      </c>
      <c r="R83" s="304">
        <v>0</v>
      </c>
      <c r="T83" s="304">
        <v>0</v>
      </c>
      <c r="U83" s="304">
        <v>1</v>
      </c>
      <c r="V83" s="304">
        <v>0</v>
      </c>
      <c r="W83" s="304">
        <v>0</v>
      </c>
      <c r="X83" s="304">
        <v>0</v>
      </c>
      <c r="Y83" s="304">
        <v>0</v>
      </c>
      <c r="Z83" s="304">
        <v>0</v>
      </c>
      <c r="AA83" s="304">
        <v>0</v>
      </c>
      <c r="AB83" s="304">
        <v>0</v>
      </c>
      <c r="AC83" s="304">
        <v>0</v>
      </c>
      <c r="AD83" s="304">
        <v>0</v>
      </c>
      <c r="AE83" s="304">
        <v>0</v>
      </c>
      <c r="AF83" s="304">
        <v>0</v>
      </c>
    </row>
    <row r="84" spans="1:32" x14ac:dyDescent="0.15">
      <c r="D84" s="487"/>
      <c r="E84" s="304" t="s">
        <v>15</v>
      </c>
      <c r="F84" s="304">
        <v>0</v>
      </c>
      <c r="G84" s="304">
        <v>0</v>
      </c>
      <c r="H84" s="304">
        <v>0</v>
      </c>
      <c r="I84" s="304">
        <v>0</v>
      </c>
      <c r="J84" s="304">
        <v>0</v>
      </c>
      <c r="K84" s="304">
        <v>0</v>
      </c>
      <c r="L84" s="304">
        <v>0</v>
      </c>
      <c r="M84" s="304">
        <v>0</v>
      </c>
      <c r="N84" s="304">
        <v>0</v>
      </c>
      <c r="O84" s="304">
        <v>0</v>
      </c>
      <c r="P84" s="304">
        <v>0</v>
      </c>
      <c r="Q84" s="304">
        <v>0</v>
      </c>
      <c r="R84" s="304">
        <v>0</v>
      </c>
      <c r="T84" s="304">
        <v>0</v>
      </c>
      <c r="U84" s="304">
        <v>0</v>
      </c>
      <c r="V84" s="304">
        <v>0</v>
      </c>
      <c r="W84" s="304">
        <v>0</v>
      </c>
      <c r="X84" s="304">
        <v>0</v>
      </c>
      <c r="Y84" s="304">
        <v>0</v>
      </c>
      <c r="Z84" s="304">
        <v>0</v>
      </c>
      <c r="AA84" s="304">
        <v>0</v>
      </c>
      <c r="AB84" s="304">
        <v>0</v>
      </c>
      <c r="AC84" s="304">
        <v>0</v>
      </c>
      <c r="AD84" s="304">
        <v>0</v>
      </c>
      <c r="AE84" s="304">
        <v>0</v>
      </c>
      <c r="AF84" s="304">
        <v>0</v>
      </c>
    </row>
    <row r="85" spans="1:32" x14ac:dyDescent="0.15">
      <c r="D85" s="487"/>
      <c r="E85" s="304" t="s">
        <v>16</v>
      </c>
      <c r="F85" s="304">
        <v>0</v>
      </c>
      <c r="G85" s="304">
        <v>0</v>
      </c>
      <c r="H85" s="304">
        <v>0</v>
      </c>
      <c r="I85" s="304">
        <v>0</v>
      </c>
      <c r="J85" s="304">
        <v>1</v>
      </c>
      <c r="K85" s="304">
        <v>1</v>
      </c>
      <c r="L85" s="304">
        <v>0</v>
      </c>
      <c r="M85" s="304">
        <v>0</v>
      </c>
      <c r="N85" s="304">
        <v>0</v>
      </c>
      <c r="O85" s="304">
        <v>0</v>
      </c>
      <c r="P85" s="304">
        <v>0</v>
      </c>
      <c r="Q85" s="304">
        <v>0</v>
      </c>
      <c r="R85" s="304">
        <v>0</v>
      </c>
      <c r="T85" s="304">
        <v>0</v>
      </c>
      <c r="U85" s="304">
        <v>0</v>
      </c>
      <c r="V85" s="304">
        <v>0</v>
      </c>
      <c r="W85" s="304">
        <v>1</v>
      </c>
      <c r="X85" s="304">
        <v>1</v>
      </c>
      <c r="Y85" s="304">
        <v>0</v>
      </c>
      <c r="Z85" s="304">
        <v>0</v>
      </c>
      <c r="AA85" s="304">
        <v>0</v>
      </c>
      <c r="AB85" s="304">
        <v>0</v>
      </c>
      <c r="AC85" s="304">
        <v>0</v>
      </c>
      <c r="AD85" s="304">
        <v>0</v>
      </c>
      <c r="AE85" s="304">
        <v>0</v>
      </c>
      <c r="AF85" s="304">
        <v>0</v>
      </c>
    </row>
    <row r="86" spans="1:32" x14ac:dyDescent="0.15">
      <c r="D86" s="487"/>
      <c r="E86" s="304" t="s">
        <v>17</v>
      </c>
      <c r="F86" s="304">
        <v>0</v>
      </c>
      <c r="G86" s="304">
        <v>0</v>
      </c>
      <c r="H86" s="304">
        <v>0</v>
      </c>
      <c r="I86" s="304">
        <v>0</v>
      </c>
      <c r="J86" s="304">
        <v>0</v>
      </c>
      <c r="K86" s="304">
        <v>1</v>
      </c>
      <c r="L86" s="304">
        <v>0</v>
      </c>
      <c r="M86" s="304">
        <v>0</v>
      </c>
      <c r="N86" s="304">
        <v>0</v>
      </c>
      <c r="O86" s="304">
        <v>0</v>
      </c>
      <c r="P86" s="304">
        <v>0</v>
      </c>
      <c r="Q86" s="304">
        <v>0</v>
      </c>
      <c r="R86" s="304">
        <v>0</v>
      </c>
      <c r="T86" s="304">
        <v>0</v>
      </c>
      <c r="U86" s="304">
        <v>0</v>
      </c>
      <c r="V86" s="304">
        <v>0</v>
      </c>
      <c r="W86" s="304">
        <v>0</v>
      </c>
      <c r="X86" s="304">
        <v>1</v>
      </c>
      <c r="Y86" s="304">
        <v>0</v>
      </c>
      <c r="Z86" s="304">
        <v>0</v>
      </c>
      <c r="AA86" s="304">
        <v>0</v>
      </c>
      <c r="AB86" s="304">
        <v>0</v>
      </c>
      <c r="AC86" s="304">
        <v>0</v>
      </c>
      <c r="AD86" s="304">
        <v>0</v>
      </c>
      <c r="AE86" s="304">
        <v>0</v>
      </c>
      <c r="AF86" s="304">
        <v>0</v>
      </c>
    </row>
    <row r="87" spans="1:32" x14ac:dyDescent="0.15">
      <c r="D87" s="487"/>
      <c r="E87" s="304" t="s">
        <v>18</v>
      </c>
      <c r="F87" s="304">
        <v>0</v>
      </c>
      <c r="G87" s="304">
        <v>0</v>
      </c>
      <c r="H87" s="304">
        <v>0</v>
      </c>
      <c r="I87" s="304">
        <v>0</v>
      </c>
      <c r="J87" s="304">
        <v>0</v>
      </c>
      <c r="K87" s="304">
        <v>0</v>
      </c>
      <c r="L87" s="304">
        <v>0</v>
      </c>
      <c r="M87" s="304">
        <v>0</v>
      </c>
      <c r="N87" s="304">
        <v>0</v>
      </c>
      <c r="O87" s="304">
        <v>0</v>
      </c>
      <c r="P87" s="304">
        <v>0</v>
      </c>
      <c r="Q87" s="304">
        <v>0</v>
      </c>
      <c r="R87" s="304">
        <v>0</v>
      </c>
      <c r="T87" s="304">
        <v>0</v>
      </c>
      <c r="U87" s="304">
        <v>0</v>
      </c>
      <c r="V87" s="304">
        <v>0</v>
      </c>
      <c r="W87" s="304">
        <v>0</v>
      </c>
      <c r="X87" s="304">
        <v>0</v>
      </c>
      <c r="Y87" s="304">
        <v>0</v>
      </c>
      <c r="Z87" s="304">
        <v>0</v>
      </c>
      <c r="AA87" s="304">
        <v>0</v>
      </c>
      <c r="AB87" s="304">
        <v>0</v>
      </c>
      <c r="AC87" s="304">
        <v>0</v>
      </c>
      <c r="AD87" s="304">
        <v>0</v>
      </c>
      <c r="AE87" s="304">
        <v>0</v>
      </c>
      <c r="AF87" s="304">
        <v>0</v>
      </c>
    </row>
    <row r="88" spans="1:32" x14ac:dyDescent="0.15">
      <c r="D88" s="487"/>
      <c r="E88" s="304" t="s">
        <v>19</v>
      </c>
      <c r="F88" s="304">
        <v>0</v>
      </c>
      <c r="G88" s="304">
        <v>0</v>
      </c>
      <c r="H88" s="304">
        <v>0</v>
      </c>
      <c r="I88" s="304">
        <v>0</v>
      </c>
      <c r="J88" s="304">
        <v>0</v>
      </c>
      <c r="K88" s="304">
        <v>0</v>
      </c>
      <c r="L88" s="304">
        <v>0</v>
      </c>
      <c r="M88" s="304">
        <v>1</v>
      </c>
      <c r="N88" s="304">
        <v>1</v>
      </c>
      <c r="O88" s="304">
        <v>0</v>
      </c>
      <c r="P88" s="304">
        <v>0</v>
      </c>
      <c r="Q88" s="304">
        <v>0</v>
      </c>
      <c r="R88" s="304">
        <v>0</v>
      </c>
      <c r="T88" s="304">
        <v>0</v>
      </c>
      <c r="U88" s="304">
        <v>0</v>
      </c>
      <c r="V88" s="304">
        <v>0</v>
      </c>
      <c r="W88" s="304">
        <v>0</v>
      </c>
      <c r="X88" s="304">
        <v>0</v>
      </c>
      <c r="Y88" s="304">
        <v>0</v>
      </c>
      <c r="Z88" s="304">
        <v>1</v>
      </c>
      <c r="AA88" s="304">
        <v>1</v>
      </c>
      <c r="AB88" s="304">
        <v>0</v>
      </c>
      <c r="AC88" s="304">
        <v>0</v>
      </c>
      <c r="AD88" s="304">
        <v>0</v>
      </c>
      <c r="AE88" s="304">
        <v>0</v>
      </c>
      <c r="AF88" s="304">
        <v>0</v>
      </c>
    </row>
    <row r="89" spans="1:32" x14ac:dyDescent="0.15">
      <c r="D89" s="487"/>
      <c r="E89" s="304" t="s">
        <v>20</v>
      </c>
      <c r="F89" s="304">
        <v>0</v>
      </c>
      <c r="G89" s="304">
        <v>0</v>
      </c>
      <c r="H89" s="304">
        <v>0</v>
      </c>
      <c r="I89" s="304">
        <v>0</v>
      </c>
      <c r="J89" s="304">
        <v>0</v>
      </c>
      <c r="K89" s="304">
        <v>0</v>
      </c>
      <c r="L89" s="304">
        <v>0</v>
      </c>
      <c r="M89" s="304">
        <v>0</v>
      </c>
      <c r="N89" s="304">
        <v>1</v>
      </c>
      <c r="O89" s="304">
        <v>0</v>
      </c>
      <c r="P89" s="304">
        <v>0</v>
      </c>
      <c r="Q89" s="304">
        <v>0</v>
      </c>
      <c r="R89" s="304">
        <v>0</v>
      </c>
      <c r="T89" s="304">
        <v>0</v>
      </c>
      <c r="U89" s="304">
        <v>0</v>
      </c>
      <c r="V89" s="304">
        <v>0</v>
      </c>
      <c r="W89" s="304">
        <v>0</v>
      </c>
      <c r="X89" s="304">
        <v>0</v>
      </c>
      <c r="Y89" s="304">
        <v>0</v>
      </c>
      <c r="Z89" s="304">
        <v>0</v>
      </c>
      <c r="AA89" s="304">
        <v>1</v>
      </c>
      <c r="AB89" s="304">
        <v>0</v>
      </c>
      <c r="AC89" s="304">
        <v>0</v>
      </c>
      <c r="AD89" s="304">
        <v>0</v>
      </c>
      <c r="AE89" s="304">
        <v>0</v>
      </c>
      <c r="AF89" s="304">
        <v>0</v>
      </c>
    </row>
    <row r="90" spans="1:32" x14ac:dyDescent="0.15">
      <c r="D90" s="487"/>
      <c r="E90" s="304" t="s">
        <v>21</v>
      </c>
      <c r="F90" s="304">
        <v>0</v>
      </c>
      <c r="G90" s="304">
        <v>0</v>
      </c>
      <c r="H90" s="304">
        <v>0</v>
      </c>
      <c r="I90" s="304">
        <v>0</v>
      </c>
      <c r="J90" s="304">
        <v>0</v>
      </c>
      <c r="K90" s="304">
        <v>0</v>
      </c>
      <c r="L90" s="304">
        <v>0</v>
      </c>
      <c r="M90" s="304">
        <v>0</v>
      </c>
      <c r="N90" s="304">
        <v>0</v>
      </c>
      <c r="O90" s="304">
        <v>0</v>
      </c>
      <c r="P90" s="304">
        <v>0</v>
      </c>
      <c r="Q90" s="304">
        <v>0</v>
      </c>
      <c r="R90" s="304">
        <v>0</v>
      </c>
      <c r="T90" s="304">
        <v>0</v>
      </c>
      <c r="U90" s="304">
        <v>0</v>
      </c>
      <c r="V90" s="304">
        <v>0</v>
      </c>
      <c r="W90" s="304">
        <v>0</v>
      </c>
      <c r="X90" s="304">
        <v>0</v>
      </c>
      <c r="Y90" s="304">
        <v>0</v>
      </c>
      <c r="Z90" s="304">
        <v>0</v>
      </c>
      <c r="AA90" s="304">
        <v>0</v>
      </c>
      <c r="AB90" s="304">
        <v>0</v>
      </c>
      <c r="AC90" s="304">
        <v>0</v>
      </c>
      <c r="AD90" s="304">
        <v>0</v>
      </c>
      <c r="AE90" s="304">
        <v>0</v>
      </c>
      <c r="AF90" s="304">
        <v>0</v>
      </c>
    </row>
    <row r="91" spans="1:32" x14ac:dyDescent="0.15">
      <c r="D91" s="487"/>
      <c r="E91" s="304" t="s">
        <v>22</v>
      </c>
      <c r="F91" s="304">
        <v>0</v>
      </c>
      <c r="G91" s="304">
        <v>0</v>
      </c>
      <c r="H91" s="304">
        <v>0</v>
      </c>
      <c r="I91" s="304">
        <v>0</v>
      </c>
      <c r="J91" s="304">
        <v>0</v>
      </c>
      <c r="K91" s="304">
        <v>0</v>
      </c>
      <c r="L91" s="304">
        <v>0</v>
      </c>
      <c r="M91" s="304">
        <v>0</v>
      </c>
      <c r="N91" s="304">
        <v>0</v>
      </c>
      <c r="O91" s="304">
        <v>0</v>
      </c>
      <c r="P91" s="304">
        <v>1</v>
      </c>
      <c r="Q91" s="304">
        <v>0</v>
      </c>
      <c r="R91" s="304">
        <v>0</v>
      </c>
      <c r="T91" s="304">
        <v>0</v>
      </c>
      <c r="U91" s="304">
        <v>0</v>
      </c>
      <c r="V91" s="304">
        <v>0</v>
      </c>
      <c r="W91" s="304">
        <v>0</v>
      </c>
      <c r="X91" s="304">
        <v>0</v>
      </c>
      <c r="Y91" s="304">
        <v>0</v>
      </c>
      <c r="Z91" s="304">
        <v>0</v>
      </c>
      <c r="AA91" s="304">
        <v>0</v>
      </c>
      <c r="AB91" s="304">
        <v>0</v>
      </c>
      <c r="AC91" s="304">
        <v>1</v>
      </c>
      <c r="AD91" s="304">
        <v>0</v>
      </c>
      <c r="AE91" s="304">
        <v>0</v>
      </c>
      <c r="AF91" s="304">
        <v>0</v>
      </c>
    </row>
    <row r="92" spans="1:32" x14ac:dyDescent="0.15">
      <c r="D92" s="487"/>
      <c r="E92" s="304" t="s">
        <v>23</v>
      </c>
      <c r="F92" s="304">
        <v>0</v>
      </c>
      <c r="G92" s="304">
        <v>0</v>
      </c>
      <c r="H92" s="304">
        <v>0</v>
      </c>
      <c r="I92" s="304">
        <v>0</v>
      </c>
      <c r="J92" s="304">
        <v>0</v>
      </c>
      <c r="K92" s="304">
        <v>0</v>
      </c>
      <c r="L92" s="304">
        <v>0</v>
      </c>
      <c r="M92" s="304">
        <v>0</v>
      </c>
      <c r="N92" s="304">
        <v>0</v>
      </c>
      <c r="O92" s="304">
        <v>0</v>
      </c>
      <c r="P92" s="304">
        <v>1</v>
      </c>
      <c r="Q92" s="304">
        <v>0</v>
      </c>
      <c r="R92" s="304">
        <v>0</v>
      </c>
      <c r="T92" s="304">
        <v>0</v>
      </c>
      <c r="U92" s="304">
        <v>0</v>
      </c>
      <c r="V92" s="304">
        <v>0</v>
      </c>
      <c r="W92" s="304">
        <v>0</v>
      </c>
      <c r="X92" s="304">
        <v>0</v>
      </c>
      <c r="Y92" s="304">
        <v>0</v>
      </c>
      <c r="Z92" s="304">
        <v>0</v>
      </c>
      <c r="AA92" s="304">
        <v>0</v>
      </c>
      <c r="AB92" s="304">
        <v>0</v>
      </c>
      <c r="AC92" s="304">
        <v>0</v>
      </c>
      <c r="AD92" s="304">
        <v>1</v>
      </c>
      <c r="AE92" s="304">
        <v>0</v>
      </c>
      <c r="AF92" s="304">
        <v>0</v>
      </c>
    </row>
    <row r="93" spans="1:32" x14ac:dyDescent="0.15">
      <c r="D93" s="487"/>
      <c r="E93" s="304" t="s">
        <v>24</v>
      </c>
      <c r="F93" s="304">
        <v>0</v>
      </c>
      <c r="G93" s="304">
        <v>0</v>
      </c>
      <c r="H93" s="304">
        <v>0</v>
      </c>
      <c r="I93" s="304">
        <v>0</v>
      </c>
      <c r="J93" s="304">
        <v>0</v>
      </c>
      <c r="K93" s="304">
        <v>0</v>
      </c>
      <c r="L93" s="304">
        <v>0</v>
      </c>
      <c r="M93" s="304">
        <v>0</v>
      </c>
      <c r="N93" s="304">
        <v>0</v>
      </c>
      <c r="O93" s="304">
        <v>0</v>
      </c>
      <c r="P93" s="304">
        <v>0</v>
      </c>
      <c r="Q93" s="304">
        <v>0</v>
      </c>
      <c r="R93" s="304">
        <v>1</v>
      </c>
      <c r="T93" s="304">
        <v>0</v>
      </c>
      <c r="U93" s="304">
        <v>0</v>
      </c>
      <c r="V93" s="304">
        <v>0</v>
      </c>
      <c r="W93" s="304">
        <v>0</v>
      </c>
      <c r="X93" s="304">
        <v>0</v>
      </c>
      <c r="Y93" s="304">
        <v>0</v>
      </c>
      <c r="Z93" s="304">
        <v>0</v>
      </c>
      <c r="AA93" s="304">
        <v>0</v>
      </c>
      <c r="AB93" s="304">
        <v>0</v>
      </c>
      <c r="AC93" s="304">
        <v>0</v>
      </c>
      <c r="AD93" s="304">
        <v>0</v>
      </c>
      <c r="AE93" s="304">
        <v>1</v>
      </c>
      <c r="AF93" s="304">
        <v>0</v>
      </c>
    </row>
    <row r="94" spans="1:32" x14ac:dyDescent="0.15">
      <c r="D94" s="487"/>
      <c r="E94" s="304" t="s">
        <v>25</v>
      </c>
      <c r="F94" s="304">
        <v>0</v>
      </c>
      <c r="G94" s="304">
        <v>0</v>
      </c>
      <c r="H94" s="304">
        <v>0</v>
      </c>
      <c r="I94" s="304">
        <v>0</v>
      </c>
      <c r="J94" s="304">
        <v>0</v>
      </c>
      <c r="K94" s="304">
        <v>0</v>
      </c>
      <c r="L94" s="304">
        <v>0</v>
      </c>
      <c r="M94" s="304">
        <v>0</v>
      </c>
      <c r="N94" s="304">
        <v>0</v>
      </c>
      <c r="O94" s="304">
        <v>0</v>
      </c>
      <c r="P94" s="304">
        <v>0</v>
      </c>
      <c r="Q94" s="304">
        <v>0</v>
      </c>
      <c r="R94" s="304">
        <v>1</v>
      </c>
      <c r="T94" s="304">
        <v>0</v>
      </c>
      <c r="U94" s="304">
        <v>0</v>
      </c>
      <c r="V94" s="304">
        <v>0</v>
      </c>
      <c r="W94" s="304">
        <v>0</v>
      </c>
      <c r="X94" s="304">
        <v>0</v>
      </c>
      <c r="Y94" s="304">
        <v>0</v>
      </c>
      <c r="Z94" s="304">
        <v>0</v>
      </c>
      <c r="AA94" s="304">
        <v>0</v>
      </c>
      <c r="AB94" s="304">
        <v>0</v>
      </c>
      <c r="AC94" s="304">
        <v>0</v>
      </c>
      <c r="AD94" s="304">
        <v>0</v>
      </c>
      <c r="AE94" s="304">
        <v>0</v>
      </c>
      <c r="AF94" s="304">
        <v>1</v>
      </c>
    </row>
  </sheetData>
  <sheetProtection password="CA8A" sheet="1" objects="1" scenarios="1" selectLockedCells="1"/>
  <mergeCells count="23">
    <mergeCell ref="T1:AE1"/>
    <mergeCell ref="F80:R80"/>
    <mergeCell ref="D82:D94"/>
    <mergeCell ref="A1:P1"/>
    <mergeCell ref="F47:P47"/>
    <mergeCell ref="D49:D60"/>
    <mergeCell ref="F63:P63"/>
    <mergeCell ref="F69:P69"/>
    <mergeCell ref="D71:D77"/>
    <mergeCell ref="D65:D66"/>
    <mergeCell ref="F2:P2"/>
    <mergeCell ref="R2:X2"/>
    <mergeCell ref="D4:D9"/>
    <mergeCell ref="D13:D43"/>
    <mergeCell ref="R11:AC11"/>
    <mergeCell ref="F11:P11"/>
    <mergeCell ref="T80:AF80"/>
    <mergeCell ref="BH2:BS2"/>
    <mergeCell ref="Z2:BF2"/>
    <mergeCell ref="BF11:BL11"/>
    <mergeCell ref="AE11:AR11"/>
    <mergeCell ref="AZ11:BD11"/>
    <mergeCell ref="AT11:AX11"/>
  </mergeCells>
  <phoneticPr fontId="20" type="noConversion"/>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AZ45"/>
  <sheetViews>
    <sheetView showGridLines="0" showRuler="0" topLeftCell="B1" workbookViewId="0">
      <selection activeCell="AI6" sqref="AI6"/>
    </sheetView>
  </sheetViews>
  <sheetFormatPr baseColWidth="10" defaultColWidth="10.83203125" defaultRowHeight="13" x14ac:dyDescent="0.15"/>
  <cols>
    <col min="1" max="1" width="5" style="132" customWidth="1"/>
    <col min="2" max="2" width="2.33203125" style="132" customWidth="1"/>
    <col min="3" max="3" width="5.5" style="132" customWidth="1"/>
    <col min="4" max="4" width="5.6640625" style="132" customWidth="1"/>
    <col min="5" max="5" width="5.83203125" style="132" customWidth="1"/>
    <col min="6" max="6" width="3.6640625" style="132" customWidth="1"/>
    <col min="7" max="7" width="2.5" style="132" customWidth="1"/>
    <col min="8" max="8" width="2" style="132" customWidth="1"/>
    <col min="9" max="9" width="5.1640625" style="132" customWidth="1"/>
    <col min="10" max="10" width="5.83203125" style="132" customWidth="1"/>
    <col min="11" max="11" width="6.33203125" style="132" customWidth="1"/>
    <col min="12" max="12" width="3.33203125" style="132" customWidth="1"/>
    <col min="13" max="13" width="5.1640625" style="132" customWidth="1"/>
    <col min="14" max="15" width="5.83203125" style="132" customWidth="1"/>
    <col min="16" max="16" width="4.5" style="223" customWidth="1"/>
    <col min="17" max="17" width="1.33203125" style="132" customWidth="1"/>
    <col min="18" max="18" width="0.5" style="132" customWidth="1"/>
    <col min="19" max="19" width="1.1640625" style="132" customWidth="1"/>
    <col min="20" max="20" width="4.1640625" style="132" customWidth="1"/>
    <col min="21" max="21" width="5.1640625" style="132" customWidth="1"/>
    <col min="22" max="22" width="2.83203125" style="132" customWidth="1"/>
    <col min="23" max="23" width="1" style="132" customWidth="1"/>
    <col min="24" max="24" width="0.6640625" style="132" customWidth="1"/>
    <col min="25" max="25" width="1.1640625" style="132" customWidth="1"/>
    <col min="26" max="26" width="4" style="132" customWidth="1"/>
    <col min="27" max="27" width="4.33203125" style="132" customWidth="1"/>
    <col min="28" max="28" width="2.33203125" style="132" customWidth="1"/>
    <col min="29" max="29" width="1.83203125" style="132" customWidth="1"/>
    <col min="30" max="30" width="6.5" style="132" customWidth="1"/>
    <col min="31" max="31" width="5.6640625" style="132" customWidth="1"/>
    <col min="32" max="32" width="4.33203125" style="223" customWidth="1"/>
    <col min="33" max="33" width="3.6640625" style="132" customWidth="1"/>
    <col min="34" max="34" width="9.33203125" style="224" customWidth="1"/>
    <col min="35" max="35" width="5.6640625" style="132" customWidth="1"/>
    <col min="36" max="36" width="5.83203125" style="132" customWidth="1"/>
    <col min="37" max="37" width="5" style="132" customWidth="1"/>
    <col min="38" max="43" width="5.83203125" style="132" customWidth="1"/>
    <col min="44" max="44" width="5.6640625" style="132" customWidth="1"/>
    <col min="45" max="46" width="5" style="132" customWidth="1"/>
    <col min="47" max="47" width="5.1640625" style="132" customWidth="1"/>
    <col min="48" max="48" width="5" style="132" customWidth="1"/>
    <col min="49" max="49" width="5.1640625" style="132" customWidth="1"/>
    <col min="50" max="50" width="5.6640625" style="132" customWidth="1"/>
    <col min="51" max="51" width="0.5" style="132" customWidth="1"/>
    <col min="52" max="52" width="5.1640625" style="132" customWidth="1"/>
    <col min="53" max="53" width="4.1640625" style="132" customWidth="1"/>
    <col min="54" max="54" width="5.1640625" style="132" customWidth="1"/>
    <col min="55" max="55" width="2.83203125" style="132" customWidth="1"/>
    <col min="56" max="56" width="1" style="132" customWidth="1"/>
    <col min="57" max="57" width="0.6640625" style="132" customWidth="1"/>
    <col min="58" max="58" width="1.1640625" style="132" customWidth="1"/>
    <col min="59" max="59" width="4" style="132" customWidth="1"/>
    <col min="60" max="60" width="4.33203125" style="132" customWidth="1"/>
    <col min="61" max="61" width="2.33203125" style="132" customWidth="1"/>
    <col min="62" max="62" width="1.83203125" style="132" customWidth="1"/>
    <col min="63" max="63" width="6.5" style="132" customWidth="1"/>
    <col min="64" max="64" width="5.6640625" style="132" customWidth="1"/>
    <col min="65" max="16384" width="10.83203125" style="132"/>
  </cols>
  <sheetData>
    <row r="1" spans="1:52" ht="42" customHeight="1" x14ac:dyDescent="0.2">
      <c r="A1" s="504" t="s">
        <v>478</v>
      </c>
      <c r="B1" s="504"/>
      <c r="C1" s="504"/>
      <c r="D1" s="504"/>
      <c r="E1" s="504"/>
      <c r="F1" s="504"/>
      <c r="G1" s="343"/>
      <c r="H1" s="343"/>
      <c r="I1" s="343"/>
      <c r="J1" s="343"/>
      <c r="K1" s="343"/>
      <c r="L1" s="343"/>
      <c r="M1" s="343"/>
      <c r="N1" s="343"/>
      <c r="O1" s="343"/>
      <c r="AI1" s="506" t="s">
        <v>612</v>
      </c>
      <c r="AJ1" s="506"/>
      <c r="AK1" s="506"/>
      <c r="AL1" s="506"/>
      <c r="AM1" s="506"/>
      <c r="AN1" s="506"/>
      <c r="AO1" s="506"/>
      <c r="AP1" s="506"/>
    </row>
    <row r="2" spans="1:52" ht="14" thickBot="1" x14ac:dyDescent="0.2"/>
    <row r="3" spans="1:52" ht="23" customHeight="1" thickBot="1" x14ac:dyDescent="0.2">
      <c r="A3" s="504" t="s">
        <v>382</v>
      </c>
      <c r="B3" s="343"/>
      <c r="C3" s="343"/>
      <c r="D3" s="357"/>
      <c r="E3" s="225">
        <v>25.4</v>
      </c>
      <c r="F3" s="505" t="s">
        <v>85</v>
      </c>
      <c r="G3" s="343"/>
      <c r="H3" s="343"/>
      <c r="I3" s="343"/>
      <c r="J3" s="343"/>
      <c r="K3" s="226">
        <v>1</v>
      </c>
      <c r="L3" s="132" t="s">
        <v>381</v>
      </c>
      <c r="Q3" s="132" t="s">
        <v>121</v>
      </c>
      <c r="AI3" s="500" t="s">
        <v>139</v>
      </c>
      <c r="AJ3" s="501"/>
      <c r="AK3" s="501"/>
      <c r="AL3" s="501"/>
      <c r="AM3" s="501"/>
      <c r="AN3" s="501"/>
      <c r="AO3" s="501"/>
      <c r="AP3" s="501"/>
      <c r="AQ3" s="496" t="s">
        <v>392</v>
      </c>
      <c r="AR3" s="497"/>
      <c r="AS3" s="497"/>
      <c r="AT3" s="497"/>
      <c r="AU3" s="497"/>
      <c r="AV3" s="497"/>
      <c r="AW3" s="498"/>
      <c r="AX3" s="499"/>
    </row>
    <row r="4" spans="1:52" ht="26" customHeight="1" thickBot="1" x14ac:dyDescent="0.2">
      <c r="AI4" s="515" t="s">
        <v>535</v>
      </c>
      <c r="AJ4" s="516"/>
      <c r="AK4" s="500" t="s">
        <v>140</v>
      </c>
      <c r="AL4" s="403"/>
      <c r="AM4" s="500" t="s">
        <v>534</v>
      </c>
      <c r="AN4" s="403"/>
      <c r="AO4" s="515" t="s">
        <v>537</v>
      </c>
      <c r="AP4" s="517"/>
      <c r="AQ4" s="567" t="s">
        <v>535</v>
      </c>
      <c r="AR4" s="568"/>
      <c r="AS4" s="372" t="s">
        <v>140</v>
      </c>
      <c r="AT4" s="372"/>
      <c r="AU4" s="372" t="s">
        <v>533</v>
      </c>
      <c r="AV4" s="372"/>
      <c r="AW4" s="494" t="s">
        <v>536</v>
      </c>
      <c r="AX4" s="495"/>
      <c r="AY4" s="290"/>
      <c r="AZ4" s="290"/>
    </row>
    <row r="5" spans="1:52" ht="15" customHeight="1" x14ac:dyDescent="0.15">
      <c r="A5" s="507" t="s">
        <v>330</v>
      </c>
      <c r="B5" s="508"/>
      <c r="C5" s="509"/>
      <c r="D5" s="509"/>
      <c r="E5" s="510"/>
      <c r="F5" s="227"/>
      <c r="G5" s="511" t="s">
        <v>331</v>
      </c>
      <c r="H5" s="512"/>
      <c r="I5" s="512"/>
      <c r="J5" s="512"/>
      <c r="K5" s="513"/>
      <c r="L5" s="228"/>
      <c r="M5" s="507" t="s">
        <v>238</v>
      </c>
      <c r="N5" s="508"/>
      <c r="O5" s="514"/>
      <c r="Q5" s="507" t="s">
        <v>330</v>
      </c>
      <c r="R5" s="508"/>
      <c r="S5" s="508"/>
      <c r="T5" s="508"/>
      <c r="U5" s="514"/>
      <c r="V5" s="227"/>
      <c r="W5" s="511" t="s">
        <v>331</v>
      </c>
      <c r="X5" s="512"/>
      <c r="Y5" s="512"/>
      <c r="Z5" s="512"/>
      <c r="AA5" s="513"/>
      <c r="AC5" s="507" t="s">
        <v>238</v>
      </c>
      <c r="AD5" s="508"/>
      <c r="AE5" s="514"/>
      <c r="AG5" s="229" t="s">
        <v>475</v>
      </c>
      <c r="AH5" s="230" t="s">
        <v>476</v>
      </c>
      <c r="AI5" s="231" t="s">
        <v>465</v>
      </c>
      <c r="AJ5" s="231" t="s">
        <v>71</v>
      </c>
      <c r="AK5" s="231" t="s">
        <v>72</v>
      </c>
      <c r="AL5" s="231" t="s">
        <v>73</v>
      </c>
      <c r="AM5" s="231" t="s">
        <v>465</v>
      </c>
      <c r="AN5" s="303" t="s">
        <v>71</v>
      </c>
      <c r="AO5" s="303" t="s">
        <v>538</v>
      </c>
      <c r="AP5" s="303" t="s">
        <v>539</v>
      </c>
      <c r="AQ5" s="232" t="s">
        <v>465</v>
      </c>
      <c r="AR5" s="294" t="s">
        <v>71</v>
      </c>
      <c r="AS5" s="294" t="s">
        <v>72</v>
      </c>
      <c r="AT5" s="294" t="s">
        <v>73</v>
      </c>
      <c r="AU5" s="294" t="s">
        <v>465</v>
      </c>
      <c r="AV5" s="233" t="s">
        <v>71</v>
      </c>
      <c r="AW5" s="234" t="s">
        <v>540</v>
      </c>
      <c r="AX5" s="235" t="s">
        <v>541</v>
      </c>
    </row>
    <row r="6" spans="1:52" ht="15" customHeight="1" x14ac:dyDescent="0.15">
      <c r="A6" s="518" t="s">
        <v>239</v>
      </c>
      <c r="B6" s="519"/>
      <c r="C6" s="520">
        <f>'ORDER FORM'!D16</f>
        <v>0</v>
      </c>
      <c r="D6" s="520"/>
      <c r="E6" s="236"/>
      <c r="F6" s="227"/>
      <c r="G6" s="521" t="s">
        <v>240</v>
      </c>
      <c r="H6" s="522"/>
      <c r="I6" s="523">
        <f>'ORDER FORM'!J16</f>
        <v>0</v>
      </c>
      <c r="J6" s="523"/>
      <c r="K6" s="237"/>
      <c r="L6" s="228"/>
      <c r="M6" s="524" t="s">
        <v>241</v>
      </c>
      <c r="N6" s="525"/>
      <c r="O6" s="526"/>
      <c r="Q6" s="518"/>
      <c r="R6" s="534"/>
      <c r="S6" s="573"/>
      <c r="T6" s="573"/>
      <c r="U6" s="236"/>
      <c r="V6" s="227"/>
      <c r="W6" s="521"/>
      <c r="X6" s="522"/>
      <c r="Y6" s="238"/>
      <c r="Z6" s="238"/>
      <c r="AA6" s="237"/>
      <c r="AC6" s="524" t="s">
        <v>241</v>
      </c>
      <c r="AD6" s="525"/>
      <c r="AE6" s="526"/>
      <c r="AG6" s="569" t="s">
        <v>324</v>
      </c>
      <c r="AH6" s="303" t="s">
        <v>141</v>
      </c>
      <c r="AI6" s="169">
        <v>7.5</v>
      </c>
      <c r="AJ6" s="169">
        <v>7.5</v>
      </c>
      <c r="AK6" s="169">
        <v>8</v>
      </c>
      <c r="AL6" s="169">
        <v>11</v>
      </c>
      <c r="AM6" s="169">
        <v>7.5</v>
      </c>
      <c r="AN6" s="171">
        <v>5.875</v>
      </c>
      <c r="AO6" s="171"/>
      <c r="AP6" s="171"/>
      <c r="AQ6" s="239">
        <f t="shared" ref="AQ6:AV6" si="0">AI6*25.4</f>
        <v>190.5</v>
      </c>
      <c r="AR6" s="240">
        <f t="shared" si="0"/>
        <v>190.5</v>
      </c>
      <c r="AS6" s="240">
        <f t="shared" si="0"/>
        <v>203.2</v>
      </c>
      <c r="AT6" s="240">
        <f t="shared" si="0"/>
        <v>279.39999999999998</v>
      </c>
      <c r="AU6" s="240">
        <f t="shared" si="0"/>
        <v>190.5</v>
      </c>
      <c r="AV6" s="241">
        <f t="shared" si="0"/>
        <v>149.22499999999999</v>
      </c>
      <c r="AW6" s="242"/>
      <c r="AX6" s="243"/>
    </row>
    <row r="7" spans="1:52" x14ac:dyDescent="0.15">
      <c r="A7" s="527" t="s">
        <v>242</v>
      </c>
      <c r="B7" s="528"/>
      <c r="C7" s="244" t="s">
        <v>243</v>
      </c>
      <c r="D7" s="245" t="s">
        <v>244</v>
      </c>
      <c r="E7" s="246" t="s">
        <v>245</v>
      </c>
      <c r="F7" s="227"/>
      <c r="G7" s="529" t="s">
        <v>242</v>
      </c>
      <c r="H7" s="530"/>
      <c r="I7" s="297" t="s">
        <v>243</v>
      </c>
      <c r="J7" s="298" t="s">
        <v>244</v>
      </c>
      <c r="K7" s="299" t="s">
        <v>245</v>
      </c>
      <c r="L7" s="227"/>
      <c r="M7" s="247" t="s">
        <v>243</v>
      </c>
      <c r="N7" s="245" t="s">
        <v>244</v>
      </c>
      <c r="O7" s="246" t="s">
        <v>245</v>
      </c>
      <c r="T7" s="245" t="s">
        <v>244</v>
      </c>
      <c r="U7" s="246" t="s">
        <v>245</v>
      </c>
      <c r="V7" s="227"/>
      <c r="Z7" s="298" t="s">
        <v>244</v>
      </c>
      <c r="AA7" s="299" t="s">
        <v>245</v>
      </c>
      <c r="AD7" s="245" t="s">
        <v>244</v>
      </c>
      <c r="AE7" s="246" t="s">
        <v>245</v>
      </c>
      <c r="AG7" s="464"/>
      <c r="AH7" s="303" t="s">
        <v>142</v>
      </c>
      <c r="AI7" s="169">
        <v>8.5</v>
      </c>
      <c r="AJ7" s="169">
        <v>8.5</v>
      </c>
      <c r="AK7" s="169"/>
      <c r="AL7" s="169"/>
      <c r="AM7" s="169">
        <v>8.5</v>
      </c>
      <c r="AN7" s="171">
        <v>5.875</v>
      </c>
      <c r="AO7" s="171"/>
      <c r="AP7" s="171"/>
      <c r="AQ7" s="239">
        <f t="shared" ref="AQ7:AQ27" si="1">AI7*25.4</f>
        <v>215.89999999999998</v>
      </c>
      <c r="AR7" s="240">
        <f t="shared" ref="AR7:AR27" si="2">AJ7*25.4</f>
        <v>215.89999999999998</v>
      </c>
      <c r="AS7" s="240"/>
      <c r="AT7" s="240"/>
      <c r="AU7" s="240">
        <f t="shared" ref="AU7:AU27" si="3">AM7*25.4</f>
        <v>215.89999999999998</v>
      </c>
      <c r="AV7" s="241">
        <f>AN7*25.4</f>
        <v>149.22499999999999</v>
      </c>
      <c r="AW7" s="242"/>
      <c r="AX7" s="243"/>
    </row>
    <row r="8" spans="1:52" x14ac:dyDescent="0.15">
      <c r="A8" s="531"/>
      <c r="B8" s="532"/>
      <c r="C8" s="296">
        <f>'ORDER FORM'!D19</f>
        <v>0</v>
      </c>
      <c r="D8" s="248">
        <f>'ORDER FORM'!E19*cf</f>
        <v>0</v>
      </c>
      <c r="E8" s="301">
        <f>'ORDER FORM'!F19*cf</f>
        <v>0</v>
      </c>
      <c r="F8" s="227"/>
      <c r="G8" s="533"/>
      <c r="H8" s="530"/>
      <c r="I8" s="296">
        <f>'ORDER FORM'!J19</f>
        <v>0</v>
      </c>
      <c r="J8" s="300">
        <f>'ORDER FORM'!K19*cf</f>
        <v>0</v>
      </c>
      <c r="K8" s="301">
        <f>'ORDER FORM'!L19*cf</f>
        <v>0</v>
      </c>
      <c r="L8" s="227"/>
      <c r="M8" s="249">
        <f>'ORDER FORM'!O19</f>
        <v>0</v>
      </c>
      <c r="N8" s="249">
        <f>'ORDER FORM'!P19*cf</f>
        <v>0</v>
      </c>
      <c r="O8" s="249">
        <f>'ORDER FORM'!R19*cf</f>
        <v>0</v>
      </c>
      <c r="T8" s="248">
        <f>IF(C8=0,0,IF(D8&lt;$AQ$35,-1,1))</f>
        <v>0</v>
      </c>
      <c r="U8" s="250">
        <f>IF(C8=0,0,IF(E8&lt;$AR$35,-1,1))</f>
        <v>0</v>
      </c>
      <c r="V8" s="227"/>
      <c r="Z8" s="251">
        <f>IF(I8=0,0,IF(J8&lt;$AQ$37,-1,1))</f>
        <v>0</v>
      </c>
      <c r="AA8" s="252">
        <f>IF(I8=0,0,IF(K8&lt;$AR$37,-1,1))</f>
        <v>0</v>
      </c>
      <c r="AD8" s="251">
        <f>IF(M8=0,0,IF(N8&lt;$AQ$39,-1,1))</f>
        <v>0</v>
      </c>
      <c r="AE8" s="252">
        <f>IF(M8=0,0,IF(O8&lt;$AR$39,-1,1))</f>
        <v>0</v>
      </c>
      <c r="AG8" s="464"/>
      <c r="AH8" s="303" t="s">
        <v>143</v>
      </c>
      <c r="AI8" s="169">
        <v>9</v>
      </c>
      <c r="AJ8" s="169">
        <v>9</v>
      </c>
      <c r="AK8" s="169"/>
      <c r="AL8" s="169"/>
      <c r="AM8" s="169">
        <v>9</v>
      </c>
      <c r="AN8" s="171">
        <v>5.875</v>
      </c>
      <c r="AO8" s="171"/>
      <c r="AP8" s="171"/>
      <c r="AQ8" s="239">
        <f t="shared" si="1"/>
        <v>228.6</v>
      </c>
      <c r="AR8" s="240">
        <f t="shared" si="2"/>
        <v>228.6</v>
      </c>
      <c r="AS8" s="240"/>
      <c r="AT8" s="240"/>
      <c r="AU8" s="240">
        <f t="shared" si="3"/>
        <v>228.6</v>
      </c>
      <c r="AV8" s="241">
        <f>AN8*25.4</f>
        <v>149.22499999999999</v>
      </c>
      <c r="AW8" s="242"/>
      <c r="AX8" s="243"/>
    </row>
    <row r="9" spans="1:52" x14ac:dyDescent="0.15">
      <c r="A9" s="531"/>
      <c r="B9" s="532"/>
      <c r="C9" s="296">
        <f>'ORDER FORM'!D20</f>
        <v>0</v>
      </c>
      <c r="D9" s="248">
        <f>'ORDER FORM'!E20*cf</f>
        <v>0</v>
      </c>
      <c r="E9" s="301">
        <f>'ORDER FORM'!F20*cf</f>
        <v>0</v>
      </c>
      <c r="F9" s="227"/>
      <c r="G9" s="533"/>
      <c r="H9" s="530"/>
      <c r="I9" s="296">
        <f>'ORDER FORM'!J20</f>
        <v>0</v>
      </c>
      <c r="J9" s="300">
        <f>'ORDER FORM'!K20*cf</f>
        <v>0</v>
      </c>
      <c r="K9" s="301">
        <f>'ORDER FORM'!L20*cf</f>
        <v>0</v>
      </c>
      <c r="L9" s="227"/>
      <c r="M9" s="249">
        <f>'ORDER FORM'!O20</f>
        <v>0</v>
      </c>
      <c r="N9" s="249">
        <f>'ORDER FORM'!P20*cf</f>
        <v>0</v>
      </c>
      <c r="O9" s="249">
        <f>'ORDER FORM'!R20*cf</f>
        <v>0</v>
      </c>
      <c r="T9" s="248">
        <f t="shared" ref="T9:T22" si="4">IF(C9=0,0,IF(D9&lt;$AQ$35,-1,1))</f>
        <v>0</v>
      </c>
      <c r="U9" s="250">
        <f t="shared" ref="U9:U22" si="5">IF(C9=0,0,IF(E9&lt;$AR$35,-1,1))</f>
        <v>0</v>
      </c>
      <c r="V9" s="227"/>
      <c r="Z9" s="251">
        <f t="shared" ref="Z9:Z22" si="6">IF(I9=0,0,IF(J9&lt;$AQ$37,-1,1))</f>
        <v>0</v>
      </c>
      <c r="AA9" s="252">
        <f t="shared" ref="AA9:AA22" si="7">IF(I9=0,0,IF(K9&lt;$AR$37,-1,1))</f>
        <v>0</v>
      </c>
      <c r="AD9" s="251">
        <f t="shared" ref="AD9:AD16" si="8">IF(M9=0,0,IF(N9&lt;$AQ$39,-1,1))</f>
        <v>0</v>
      </c>
      <c r="AE9" s="252">
        <f t="shared" ref="AE9:AE17" si="9">IF(M9=0,0,IF(O9&lt;$AR$39,-1,1))</f>
        <v>0</v>
      </c>
      <c r="AG9" s="464"/>
      <c r="AH9" s="303" t="s">
        <v>144</v>
      </c>
      <c r="AI9" s="169">
        <v>9.5</v>
      </c>
      <c r="AJ9" s="169">
        <v>9.5</v>
      </c>
      <c r="AK9" s="169"/>
      <c r="AL9" s="169"/>
      <c r="AM9" s="169">
        <v>9.5</v>
      </c>
      <c r="AN9" s="171">
        <v>5.875</v>
      </c>
      <c r="AO9" s="171"/>
      <c r="AP9" s="171"/>
      <c r="AQ9" s="239">
        <f t="shared" si="1"/>
        <v>241.29999999999998</v>
      </c>
      <c r="AR9" s="240">
        <f t="shared" si="2"/>
        <v>241.29999999999998</v>
      </c>
      <c r="AS9" s="240"/>
      <c r="AT9" s="240"/>
      <c r="AU9" s="240">
        <f t="shared" si="3"/>
        <v>241.29999999999998</v>
      </c>
      <c r="AV9" s="241">
        <f>AN9*25.4</f>
        <v>149.22499999999999</v>
      </c>
      <c r="AW9" s="242"/>
      <c r="AX9" s="243"/>
    </row>
    <row r="10" spans="1:52" x14ac:dyDescent="0.15">
      <c r="A10" s="531"/>
      <c r="B10" s="532"/>
      <c r="C10" s="296">
        <f>'ORDER FORM'!D21</f>
        <v>0</v>
      </c>
      <c r="D10" s="248">
        <f>'ORDER FORM'!E21*cf</f>
        <v>0</v>
      </c>
      <c r="E10" s="301">
        <f>'ORDER FORM'!F21*cf</f>
        <v>0</v>
      </c>
      <c r="F10" s="227"/>
      <c r="G10" s="533"/>
      <c r="H10" s="530"/>
      <c r="I10" s="296">
        <f>'ORDER FORM'!J21</f>
        <v>0</v>
      </c>
      <c r="J10" s="300">
        <f>'ORDER FORM'!K21*cf</f>
        <v>0</v>
      </c>
      <c r="K10" s="301">
        <f>'ORDER FORM'!L21*cf</f>
        <v>0</v>
      </c>
      <c r="L10" s="227"/>
      <c r="M10" s="249">
        <f>'ORDER FORM'!O21</f>
        <v>0</v>
      </c>
      <c r="N10" s="249">
        <f>'ORDER FORM'!P21*cf</f>
        <v>0</v>
      </c>
      <c r="O10" s="249">
        <f>'ORDER FORM'!R21*cf</f>
        <v>0</v>
      </c>
      <c r="T10" s="248">
        <f t="shared" si="4"/>
        <v>0</v>
      </c>
      <c r="U10" s="250">
        <f t="shared" si="5"/>
        <v>0</v>
      </c>
      <c r="V10" s="227"/>
      <c r="Z10" s="251">
        <f t="shared" si="6"/>
        <v>0</v>
      </c>
      <c r="AA10" s="252">
        <f t="shared" si="7"/>
        <v>0</v>
      </c>
      <c r="AD10" s="251">
        <f t="shared" si="8"/>
        <v>0</v>
      </c>
      <c r="AE10" s="252">
        <f t="shared" si="9"/>
        <v>0</v>
      </c>
      <c r="AG10" s="372"/>
      <c r="AH10" s="303" t="s">
        <v>145</v>
      </c>
      <c r="AI10" s="169">
        <v>10.5</v>
      </c>
      <c r="AJ10" s="169">
        <v>10.5</v>
      </c>
      <c r="AK10" s="169"/>
      <c r="AL10" s="169"/>
      <c r="AM10" s="169">
        <v>10.5</v>
      </c>
      <c r="AN10" s="171">
        <v>5.875</v>
      </c>
      <c r="AO10" s="171"/>
      <c r="AP10" s="171"/>
      <c r="AQ10" s="239">
        <f t="shared" si="1"/>
        <v>266.7</v>
      </c>
      <c r="AR10" s="240">
        <f t="shared" si="2"/>
        <v>266.7</v>
      </c>
      <c r="AS10" s="240"/>
      <c r="AT10" s="240"/>
      <c r="AU10" s="240">
        <f t="shared" si="3"/>
        <v>266.7</v>
      </c>
      <c r="AV10" s="241">
        <f>AN10*25.4</f>
        <v>149.22499999999999</v>
      </c>
      <c r="AW10" s="242"/>
      <c r="AX10" s="243"/>
    </row>
    <row r="11" spans="1:52" x14ac:dyDescent="0.15">
      <c r="A11" s="531"/>
      <c r="B11" s="532"/>
      <c r="C11" s="296">
        <f>'ORDER FORM'!D22</f>
        <v>0</v>
      </c>
      <c r="D11" s="248">
        <f>'ORDER FORM'!E22*cf</f>
        <v>0</v>
      </c>
      <c r="E11" s="301">
        <f>'ORDER FORM'!F22*cf</f>
        <v>0</v>
      </c>
      <c r="F11" s="227"/>
      <c r="G11" s="533"/>
      <c r="H11" s="530"/>
      <c r="I11" s="296">
        <f>'ORDER FORM'!J22</f>
        <v>0</v>
      </c>
      <c r="J11" s="300">
        <f>'ORDER FORM'!K22*cf</f>
        <v>0</v>
      </c>
      <c r="K11" s="253">
        <f>'ORDER FORM'!L22*cf</f>
        <v>0</v>
      </c>
      <c r="L11" s="227"/>
      <c r="M11" s="249">
        <f>'ORDER FORM'!O22</f>
        <v>0</v>
      </c>
      <c r="N11" s="249">
        <f>'ORDER FORM'!P22*cf</f>
        <v>0</v>
      </c>
      <c r="O11" s="249">
        <f>'ORDER FORM'!R22*cf</f>
        <v>0</v>
      </c>
      <c r="T11" s="248">
        <f t="shared" si="4"/>
        <v>0</v>
      </c>
      <c r="U11" s="250">
        <f t="shared" si="5"/>
        <v>0</v>
      </c>
      <c r="V11" s="227"/>
      <c r="Z11" s="251">
        <f t="shared" si="6"/>
        <v>0</v>
      </c>
      <c r="AA11" s="252">
        <f t="shared" si="7"/>
        <v>0</v>
      </c>
      <c r="AD11" s="251">
        <f t="shared" si="8"/>
        <v>0</v>
      </c>
      <c r="AE11" s="252">
        <f t="shared" si="9"/>
        <v>0</v>
      </c>
      <c r="AG11" s="231"/>
      <c r="AH11" s="303"/>
      <c r="AI11" s="169"/>
      <c r="AJ11" s="169"/>
      <c r="AK11" s="169"/>
      <c r="AL11" s="169"/>
      <c r="AM11" s="169"/>
      <c r="AN11" s="171"/>
      <c r="AO11" s="171"/>
      <c r="AP11" s="171"/>
      <c r="AQ11" s="239"/>
      <c r="AR11" s="240"/>
      <c r="AS11" s="240"/>
      <c r="AT11" s="240"/>
      <c r="AU11" s="240"/>
      <c r="AV11" s="241"/>
      <c r="AW11" s="242"/>
      <c r="AX11" s="243"/>
    </row>
    <row r="12" spans="1:52" x14ac:dyDescent="0.15">
      <c r="A12" s="531"/>
      <c r="B12" s="532"/>
      <c r="C12" s="296">
        <f>'ORDER FORM'!D23</f>
        <v>0</v>
      </c>
      <c r="D12" s="248">
        <f>'ORDER FORM'!E23*cf</f>
        <v>0</v>
      </c>
      <c r="E12" s="301">
        <f>'ORDER FORM'!F23*cf</f>
        <v>0</v>
      </c>
      <c r="F12" s="227"/>
      <c r="G12" s="533"/>
      <c r="H12" s="530"/>
      <c r="I12" s="296">
        <f>'ORDER FORM'!J23</f>
        <v>0</v>
      </c>
      <c r="J12" s="300">
        <f>'ORDER FORM'!K23*cf</f>
        <v>0</v>
      </c>
      <c r="K12" s="301">
        <f>'ORDER FORM'!L23*cf</f>
        <v>0</v>
      </c>
      <c r="L12" s="227"/>
      <c r="M12" s="249">
        <f>'ORDER FORM'!O23</f>
        <v>0</v>
      </c>
      <c r="N12" s="249">
        <f>'ORDER FORM'!P23*cf</f>
        <v>0</v>
      </c>
      <c r="O12" s="249">
        <f>'ORDER FORM'!R23*cf</f>
        <v>0</v>
      </c>
      <c r="T12" s="248">
        <f t="shared" si="4"/>
        <v>0</v>
      </c>
      <c r="U12" s="250">
        <f t="shared" si="5"/>
        <v>0</v>
      </c>
      <c r="V12" s="227"/>
      <c r="Z12" s="251">
        <f t="shared" si="6"/>
        <v>0</v>
      </c>
      <c r="AA12" s="252">
        <f t="shared" si="7"/>
        <v>0</v>
      </c>
      <c r="AD12" s="251">
        <f t="shared" si="8"/>
        <v>0</v>
      </c>
      <c r="AE12" s="252">
        <f t="shared" si="9"/>
        <v>0</v>
      </c>
      <c r="AG12" s="569" t="s">
        <v>466</v>
      </c>
      <c r="AH12" s="303" t="s">
        <v>141</v>
      </c>
      <c r="AI12" s="169">
        <v>6</v>
      </c>
      <c r="AJ12" s="169">
        <v>6</v>
      </c>
      <c r="AK12" s="169">
        <v>8</v>
      </c>
      <c r="AL12" s="169">
        <v>11</v>
      </c>
      <c r="AM12" s="169">
        <v>6</v>
      </c>
      <c r="AN12" s="171">
        <v>5</v>
      </c>
      <c r="AO12" s="171"/>
      <c r="AP12" s="171"/>
      <c r="AQ12" s="239">
        <f t="shared" si="1"/>
        <v>152.39999999999998</v>
      </c>
      <c r="AR12" s="240">
        <f t="shared" si="2"/>
        <v>152.39999999999998</v>
      </c>
      <c r="AS12" s="240">
        <f>AK12*25.4</f>
        <v>203.2</v>
      </c>
      <c r="AT12" s="240">
        <f>AL12*25.4</f>
        <v>279.39999999999998</v>
      </c>
      <c r="AU12" s="240">
        <f t="shared" si="3"/>
        <v>152.39999999999998</v>
      </c>
      <c r="AV12" s="241">
        <f>AN12*25.4</f>
        <v>127</v>
      </c>
      <c r="AW12" s="242"/>
      <c r="AX12" s="243"/>
    </row>
    <row r="13" spans="1:52" x14ac:dyDescent="0.15">
      <c r="A13" s="531"/>
      <c r="B13" s="532"/>
      <c r="C13" s="296">
        <f>'ORDER FORM'!D24</f>
        <v>0</v>
      </c>
      <c r="D13" s="248">
        <f>'ORDER FORM'!E24*cf</f>
        <v>0</v>
      </c>
      <c r="E13" s="301">
        <f>'ORDER FORM'!F24*cf</f>
        <v>0</v>
      </c>
      <c r="F13" s="227"/>
      <c r="G13" s="533"/>
      <c r="H13" s="530"/>
      <c r="I13" s="296">
        <f>'ORDER FORM'!J24</f>
        <v>0</v>
      </c>
      <c r="J13" s="300">
        <f>'ORDER FORM'!K24*cf</f>
        <v>0</v>
      </c>
      <c r="K13" s="301">
        <f>'ORDER FORM'!L24*cf</f>
        <v>0</v>
      </c>
      <c r="L13" s="227"/>
      <c r="M13" s="249">
        <f>'ORDER FORM'!O24</f>
        <v>0</v>
      </c>
      <c r="N13" s="249">
        <f>'ORDER FORM'!P24*cf</f>
        <v>0</v>
      </c>
      <c r="O13" s="249">
        <f>'ORDER FORM'!R24*cf</f>
        <v>0</v>
      </c>
      <c r="T13" s="248">
        <f t="shared" si="4"/>
        <v>0</v>
      </c>
      <c r="U13" s="250">
        <f t="shared" si="5"/>
        <v>0</v>
      </c>
      <c r="V13" s="227"/>
      <c r="Z13" s="251">
        <f t="shared" si="6"/>
        <v>0</v>
      </c>
      <c r="AA13" s="252">
        <f t="shared" si="7"/>
        <v>0</v>
      </c>
      <c r="AD13" s="251">
        <f t="shared" si="8"/>
        <v>0</v>
      </c>
      <c r="AE13" s="252">
        <f t="shared" si="9"/>
        <v>0</v>
      </c>
      <c r="AG13" s="464"/>
      <c r="AH13" s="303" t="s">
        <v>142</v>
      </c>
      <c r="AI13" s="169">
        <v>7</v>
      </c>
      <c r="AJ13" s="169">
        <v>7.5</v>
      </c>
      <c r="AK13" s="169"/>
      <c r="AL13" s="169"/>
      <c r="AM13" s="169">
        <v>7</v>
      </c>
      <c r="AN13" s="171">
        <v>5</v>
      </c>
      <c r="AO13" s="171"/>
      <c r="AP13" s="171"/>
      <c r="AQ13" s="239">
        <f t="shared" si="1"/>
        <v>177.79999999999998</v>
      </c>
      <c r="AR13" s="240">
        <f t="shared" si="2"/>
        <v>190.5</v>
      </c>
      <c r="AS13" s="240"/>
      <c r="AT13" s="240"/>
      <c r="AU13" s="240">
        <f t="shared" si="3"/>
        <v>177.79999999999998</v>
      </c>
      <c r="AV13" s="241">
        <f>AN13*25.4</f>
        <v>127</v>
      </c>
      <c r="AW13" s="242"/>
      <c r="AX13" s="243"/>
    </row>
    <row r="14" spans="1:52" x14ac:dyDescent="0.15">
      <c r="A14" s="531"/>
      <c r="B14" s="532"/>
      <c r="C14" s="296">
        <f>'ORDER FORM'!D25</f>
        <v>0</v>
      </c>
      <c r="D14" s="248">
        <f>'ORDER FORM'!E25*cf</f>
        <v>0</v>
      </c>
      <c r="E14" s="301">
        <f>'ORDER FORM'!F25*cf</f>
        <v>0</v>
      </c>
      <c r="F14" s="227"/>
      <c r="G14" s="533"/>
      <c r="H14" s="530"/>
      <c r="I14" s="296">
        <f>'ORDER FORM'!J25</f>
        <v>0</v>
      </c>
      <c r="J14" s="300">
        <f>'ORDER FORM'!K25*cf</f>
        <v>0</v>
      </c>
      <c r="K14" s="301">
        <f>'ORDER FORM'!L25*cf</f>
        <v>0</v>
      </c>
      <c r="L14" s="227"/>
      <c r="M14" s="249">
        <f>'ORDER FORM'!O25</f>
        <v>0</v>
      </c>
      <c r="N14" s="249">
        <f>'ORDER FORM'!P25*cf</f>
        <v>0</v>
      </c>
      <c r="O14" s="249">
        <f>'ORDER FORM'!R25*cf</f>
        <v>0</v>
      </c>
      <c r="T14" s="248">
        <f t="shared" si="4"/>
        <v>0</v>
      </c>
      <c r="U14" s="250">
        <f t="shared" si="5"/>
        <v>0</v>
      </c>
      <c r="V14" s="227"/>
      <c r="Z14" s="251">
        <f t="shared" si="6"/>
        <v>0</v>
      </c>
      <c r="AA14" s="252">
        <f t="shared" si="7"/>
        <v>0</v>
      </c>
      <c r="AD14" s="251">
        <f t="shared" si="8"/>
        <v>0</v>
      </c>
      <c r="AE14" s="252">
        <f t="shared" si="9"/>
        <v>0</v>
      </c>
      <c r="AG14" s="464"/>
      <c r="AH14" s="303" t="s">
        <v>143</v>
      </c>
      <c r="AI14" s="169">
        <v>7.5</v>
      </c>
      <c r="AJ14" s="169">
        <v>7.5</v>
      </c>
      <c r="AK14" s="169"/>
      <c r="AL14" s="169"/>
      <c r="AM14" s="169">
        <v>7.5</v>
      </c>
      <c r="AN14" s="171">
        <v>5</v>
      </c>
      <c r="AO14" s="171"/>
      <c r="AP14" s="171"/>
      <c r="AQ14" s="239">
        <f t="shared" si="1"/>
        <v>190.5</v>
      </c>
      <c r="AR14" s="240">
        <f t="shared" si="2"/>
        <v>190.5</v>
      </c>
      <c r="AS14" s="240"/>
      <c r="AT14" s="240"/>
      <c r="AU14" s="240">
        <f t="shared" si="3"/>
        <v>190.5</v>
      </c>
      <c r="AV14" s="241">
        <f>AN14*25.4</f>
        <v>127</v>
      </c>
      <c r="AW14" s="242"/>
      <c r="AX14" s="243"/>
    </row>
    <row r="15" spans="1:52" x14ac:dyDescent="0.15">
      <c r="A15" s="531"/>
      <c r="B15" s="532"/>
      <c r="C15" s="296">
        <f>'ORDER FORM'!D26</f>
        <v>0</v>
      </c>
      <c r="D15" s="248">
        <f>'ORDER FORM'!E26*cf</f>
        <v>0</v>
      </c>
      <c r="E15" s="301">
        <f>'ORDER FORM'!F26*cf</f>
        <v>0</v>
      </c>
      <c r="F15" s="227"/>
      <c r="G15" s="533"/>
      <c r="H15" s="530"/>
      <c r="I15" s="296">
        <f>'ORDER FORM'!J26</f>
        <v>0</v>
      </c>
      <c r="J15" s="300">
        <f>'ORDER FORM'!K26*cf</f>
        <v>0</v>
      </c>
      <c r="K15" s="301">
        <f>'ORDER FORM'!L26*cf</f>
        <v>0</v>
      </c>
      <c r="L15" s="227"/>
      <c r="M15" s="249">
        <f>'ORDER FORM'!O26</f>
        <v>0</v>
      </c>
      <c r="N15" s="249">
        <f>'ORDER FORM'!P26*cf</f>
        <v>0</v>
      </c>
      <c r="O15" s="249">
        <f>'ORDER FORM'!R26*cf</f>
        <v>0</v>
      </c>
      <c r="T15" s="248">
        <f t="shared" si="4"/>
        <v>0</v>
      </c>
      <c r="U15" s="250">
        <f t="shared" si="5"/>
        <v>0</v>
      </c>
      <c r="V15" s="227"/>
      <c r="Z15" s="251">
        <f t="shared" si="6"/>
        <v>0</v>
      </c>
      <c r="AA15" s="252">
        <f t="shared" si="7"/>
        <v>0</v>
      </c>
      <c r="AD15" s="251">
        <f t="shared" si="8"/>
        <v>0</v>
      </c>
      <c r="AE15" s="252">
        <f t="shared" si="9"/>
        <v>0</v>
      </c>
      <c r="AG15" s="464"/>
      <c r="AH15" s="303" t="s">
        <v>144</v>
      </c>
      <c r="AI15" s="169">
        <v>8.5</v>
      </c>
      <c r="AJ15" s="169">
        <v>8.5</v>
      </c>
      <c r="AK15" s="169"/>
      <c r="AL15" s="169"/>
      <c r="AM15" s="169">
        <v>8.5</v>
      </c>
      <c r="AN15" s="171">
        <v>5</v>
      </c>
      <c r="AO15" s="171"/>
      <c r="AP15" s="171"/>
      <c r="AQ15" s="239">
        <f t="shared" si="1"/>
        <v>215.89999999999998</v>
      </c>
      <c r="AR15" s="240">
        <f t="shared" si="2"/>
        <v>215.89999999999998</v>
      </c>
      <c r="AS15" s="240"/>
      <c r="AT15" s="240"/>
      <c r="AU15" s="240">
        <f t="shared" si="3"/>
        <v>215.89999999999998</v>
      </c>
      <c r="AV15" s="241">
        <f>AN15*25.4</f>
        <v>127</v>
      </c>
      <c r="AW15" s="242"/>
      <c r="AX15" s="243"/>
    </row>
    <row r="16" spans="1:52" x14ac:dyDescent="0.15">
      <c r="A16" s="531"/>
      <c r="B16" s="532"/>
      <c r="C16" s="296">
        <f>'ORDER FORM'!D27</f>
        <v>0</v>
      </c>
      <c r="D16" s="248">
        <f>'ORDER FORM'!E27*cf</f>
        <v>0</v>
      </c>
      <c r="E16" s="301">
        <f>'ORDER FORM'!F27*cf</f>
        <v>0</v>
      </c>
      <c r="F16" s="227"/>
      <c r="G16" s="533"/>
      <c r="H16" s="530"/>
      <c r="I16" s="296">
        <f>'ORDER FORM'!J27</f>
        <v>0</v>
      </c>
      <c r="J16" s="300">
        <f>'ORDER FORM'!K27*cf</f>
        <v>0</v>
      </c>
      <c r="K16" s="301">
        <f>'ORDER FORM'!L27*cf</f>
        <v>0</v>
      </c>
      <c r="L16" s="227"/>
      <c r="M16" s="249">
        <f>'ORDER FORM'!O27</f>
        <v>0</v>
      </c>
      <c r="N16" s="249">
        <f>'ORDER FORM'!P27*cf</f>
        <v>0</v>
      </c>
      <c r="O16" s="249">
        <f>'ORDER FORM'!R27*cf</f>
        <v>0</v>
      </c>
      <c r="T16" s="248">
        <f t="shared" si="4"/>
        <v>0</v>
      </c>
      <c r="U16" s="250">
        <f t="shared" si="5"/>
        <v>0</v>
      </c>
      <c r="V16" s="227"/>
      <c r="Z16" s="251">
        <f t="shared" si="6"/>
        <v>0</v>
      </c>
      <c r="AA16" s="252">
        <f t="shared" si="7"/>
        <v>0</v>
      </c>
      <c r="AD16" s="251">
        <f t="shared" si="8"/>
        <v>0</v>
      </c>
      <c r="AE16" s="252">
        <f t="shared" si="9"/>
        <v>0</v>
      </c>
      <c r="AG16" s="372"/>
      <c r="AH16" s="303" t="s">
        <v>145</v>
      </c>
      <c r="AI16" s="169">
        <v>8.5</v>
      </c>
      <c r="AJ16" s="169">
        <v>8.5</v>
      </c>
      <c r="AK16" s="169"/>
      <c r="AL16" s="169"/>
      <c r="AM16" s="169">
        <v>8.5</v>
      </c>
      <c r="AN16" s="171">
        <v>5</v>
      </c>
      <c r="AO16" s="171"/>
      <c r="AP16" s="171"/>
      <c r="AQ16" s="239">
        <f t="shared" si="1"/>
        <v>215.89999999999998</v>
      </c>
      <c r="AR16" s="240">
        <f t="shared" si="2"/>
        <v>215.89999999999998</v>
      </c>
      <c r="AS16" s="240"/>
      <c r="AT16" s="240"/>
      <c r="AU16" s="240">
        <f t="shared" si="3"/>
        <v>215.89999999999998</v>
      </c>
      <c r="AV16" s="241">
        <f>AN16*25.4</f>
        <v>127</v>
      </c>
      <c r="AW16" s="242"/>
      <c r="AX16" s="243"/>
    </row>
    <row r="17" spans="1:52" x14ac:dyDescent="0.15">
      <c r="A17" s="531"/>
      <c r="B17" s="532"/>
      <c r="C17" s="296">
        <f>'ORDER FORM'!D28</f>
        <v>0</v>
      </c>
      <c r="D17" s="248">
        <f>'ORDER FORM'!E28*cf</f>
        <v>0</v>
      </c>
      <c r="E17" s="301">
        <f>'ORDER FORM'!F28*cf</f>
        <v>0</v>
      </c>
      <c r="F17" s="227"/>
      <c r="G17" s="533"/>
      <c r="H17" s="530"/>
      <c r="I17" s="296">
        <f>'ORDER FORM'!J28</f>
        <v>0</v>
      </c>
      <c r="J17" s="300">
        <f>'ORDER FORM'!K28*cf</f>
        <v>0</v>
      </c>
      <c r="K17" s="301">
        <f>'ORDER FORM'!L28*cf</f>
        <v>0</v>
      </c>
      <c r="L17" s="227"/>
      <c r="M17" s="249">
        <f>'ORDER FORM'!O28</f>
        <v>0</v>
      </c>
      <c r="N17" s="249">
        <f>'ORDER FORM'!P28*cf</f>
        <v>0</v>
      </c>
      <c r="O17" s="249">
        <f>'ORDER FORM'!R28*cf</f>
        <v>0</v>
      </c>
      <c r="T17" s="248">
        <f t="shared" si="4"/>
        <v>0</v>
      </c>
      <c r="U17" s="250">
        <f t="shared" si="5"/>
        <v>0</v>
      </c>
      <c r="V17" s="227"/>
      <c r="Z17" s="251">
        <f t="shared" si="6"/>
        <v>0</v>
      </c>
      <c r="AA17" s="252">
        <f t="shared" si="7"/>
        <v>0</v>
      </c>
      <c r="AD17" s="251">
        <f>IF(M17=0,0,IF(N17&lt;$AQ$39,-1,1))</f>
        <v>0</v>
      </c>
      <c r="AE17" s="252">
        <f t="shared" si="9"/>
        <v>0</v>
      </c>
      <c r="AG17" s="242"/>
      <c r="AH17" s="303"/>
      <c r="AI17" s="169"/>
      <c r="AJ17" s="169"/>
      <c r="AK17" s="169"/>
      <c r="AL17" s="169"/>
      <c r="AM17" s="169"/>
      <c r="AN17" s="171"/>
      <c r="AO17" s="171"/>
      <c r="AP17" s="171"/>
      <c r="AQ17" s="239"/>
      <c r="AR17" s="240"/>
      <c r="AS17" s="240"/>
      <c r="AT17" s="240"/>
      <c r="AU17" s="240"/>
      <c r="AV17" s="241"/>
      <c r="AW17" s="242"/>
      <c r="AX17" s="243"/>
    </row>
    <row r="18" spans="1:52" ht="13" customHeight="1" thickBot="1" x14ac:dyDescent="0.2">
      <c r="A18" s="531"/>
      <c r="B18" s="532"/>
      <c r="C18" s="296">
        <f>'ORDER FORM'!D29</f>
        <v>0</v>
      </c>
      <c r="D18" s="248">
        <f>'ORDER FORM'!E29*cf</f>
        <v>0</v>
      </c>
      <c r="E18" s="301">
        <f>'ORDER FORM'!F29*cf</f>
        <v>0</v>
      </c>
      <c r="F18" s="227"/>
      <c r="G18" s="533"/>
      <c r="H18" s="530"/>
      <c r="I18" s="296">
        <f>'ORDER FORM'!J29</f>
        <v>0</v>
      </c>
      <c r="J18" s="300">
        <f>'ORDER FORM'!K29*cf</f>
        <v>0</v>
      </c>
      <c r="K18" s="301">
        <f>'ORDER FORM'!L29*cf</f>
        <v>0</v>
      </c>
      <c r="L18" s="227"/>
      <c r="M18" s="227"/>
      <c r="N18" s="227"/>
      <c r="O18" s="227"/>
      <c r="T18" s="248">
        <f t="shared" si="4"/>
        <v>0</v>
      </c>
      <c r="U18" s="250">
        <f t="shared" si="5"/>
        <v>0</v>
      </c>
      <c r="V18" s="227"/>
      <c r="Z18" s="251">
        <f t="shared" si="6"/>
        <v>0</v>
      </c>
      <c r="AA18" s="252">
        <f t="shared" si="7"/>
        <v>0</v>
      </c>
      <c r="AC18" s="227"/>
      <c r="AD18" s="227"/>
      <c r="AE18" s="227"/>
      <c r="AG18" s="570" t="s">
        <v>325</v>
      </c>
      <c r="AH18" s="303" t="s">
        <v>146</v>
      </c>
      <c r="AI18" s="169">
        <v>6</v>
      </c>
      <c r="AJ18" s="169">
        <v>6</v>
      </c>
      <c r="AK18" s="169"/>
      <c r="AL18" s="169"/>
      <c r="AM18" s="169">
        <v>6</v>
      </c>
      <c r="AN18" s="171">
        <v>5</v>
      </c>
      <c r="AO18" s="171"/>
      <c r="AP18" s="171"/>
      <c r="AQ18" s="239">
        <f t="shared" si="1"/>
        <v>152.39999999999998</v>
      </c>
      <c r="AR18" s="240">
        <f t="shared" si="2"/>
        <v>152.39999999999998</v>
      </c>
      <c r="AS18" s="240"/>
      <c r="AT18" s="240"/>
      <c r="AU18" s="240">
        <f t="shared" si="3"/>
        <v>152.39999999999998</v>
      </c>
      <c r="AV18" s="241">
        <f>AN18*25.4</f>
        <v>127</v>
      </c>
      <c r="AW18" s="242"/>
      <c r="AX18" s="243"/>
    </row>
    <row r="19" spans="1:52" ht="14" customHeight="1" thickBot="1" x14ac:dyDescent="0.2">
      <c r="A19" s="531"/>
      <c r="B19" s="532"/>
      <c r="C19" s="296">
        <f>'ORDER FORM'!D30</f>
        <v>0</v>
      </c>
      <c r="D19" s="248">
        <f>'ORDER FORM'!E30*cf</f>
        <v>0</v>
      </c>
      <c r="E19" s="301">
        <f>'ORDER FORM'!F30*cf</f>
        <v>0</v>
      </c>
      <c r="F19" s="227"/>
      <c r="G19" s="533"/>
      <c r="H19" s="530"/>
      <c r="I19" s="296">
        <f>'ORDER FORM'!J30</f>
        <v>0</v>
      </c>
      <c r="J19" s="300">
        <f>'ORDER FORM'!K30*cf</f>
        <v>0</v>
      </c>
      <c r="K19" s="301">
        <f>'ORDER FORM'!L30*cf</f>
        <v>0</v>
      </c>
      <c r="L19" s="227"/>
      <c r="M19" s="511" t="s">
        <v>246</v>
      </c>
      <c r="N19" s="535"/>
      <c r="O19" s="536"/>
      <c r="T19" s="248">
        <f t="shared" si="4"/>
        <v>0</v>
      </c>
      <c r="U19" s="250">
        <f t="shared" si="5"/>
        <v>0</v>
      </c>
      <c r="V19" s="227"/>
      <c r="Z19" s="251">
        <f t="shared" si="6"/>
        <v>0</v>
      </c>
      <c r="AA19" s="252">
        <f t="shared" si="7"/>
        <v>0</v>
      </c>
      <c r="AC19" s="511" t="s">
        <v>308</v>
      </c>
      <c r="AD19" s="535"/>
      <c r="AE19" s="536"/>
      <c r="AG19" s="571"/>
      <c r="AH19" s="303" t="s">
        <v>147</v>
      </c>
      <c r="AI19" s="169">
        <v>7</v>
      </c>
      <c r="AJ19" s="169">
        <v>7</v>
      </c>
      <c r="AK19" s="169"/>
      <c r="AL19" s="169"/>
      <c r="AM19" s="169">
        <v>7</v>
      </c>
      <c r="AN19" s="171">
        <v>5</v>
      </c>
      <c r="AO19" s="171"/>
      <c r="AP19" s="171"/>
      <c r="AQ19" s="239">
        <f t="shared" si="1"/>
        <v>177.79999999999998</v>
      </c>
      <c r="AR19" s="240">
        <f t="shared" si="2"/>
        <v>177.79999999999998</v>
      </c>
      <c r="AS19" s="240"/>
      <c r="AT19" s="240"/>
      <c r="AU19" s="240">
        <f t="shared" si="3"/>
        <v>177.79999999999998</v>
      </c>
      <c r="AV19" s="241">
        <f>AN19*25.4</f>
        <v>127</v>
      </c>
      <c r="AW19" s="242"/>
      <c r="AX19" s="243"/>
    </row>
    <row r="20" spans="1:52" ht="15" customHeight="1" x14ac:dyDescent="0.15">
      <c r="A20" s="531"/>
      <c r="B20" s="532"/>
      <c r="C20" s="296">
        <f>'ORDER FORM'!D31</f>
        <v>0</v>
      </c>
      <c r="D20" s="248">
        <f>'ORDER FORM'!E31*cf</f>
        <v>0</v>
      </c>
      <c r="E20" s="301">
        <f>'ORDER FORM'!F31*cf</f>
        <v>0</v>
      </c>
      <c r="F20" s="228"/>
      <c r="G20" s="533"/>
      <c r="H20" s="530"/>
      <c r="I20" s="296">
        <f>'ORDER FORM'!J31</f>
        <v>0</v>
      </c>
      <c r="J20" s="300">
        <f>'ORDER FORM'!K31*cf</f>
        <v>0</v>
      </c>
      <c r="K20" s="301">
        <f>'ORDER FORM'!L31*cf</f>
        <v>0</v>
      </c>
      <c r="L20" s="228"/>
      <c r="M20" s="507" t="s">
        <v>247</v>
      </c>
      <c r="N20" s="508"/>
      <c r="O20" s="514"/>
      <c r="T20" s="248">
        <f t="shared" si="4"/>
        <v>0</v>
      </c>
      <c r="U20" s="250">
        <f t="shared" si="5"/>
        <v>0</v>
      </c>
      <c r="V20" s="228"/>
      <c r="Z20" s="251">
        <f t="shared" si="6"/>
        <v>0</v>
      </c>
      <c r="AA20" s="252">
        <f t="shared" si="7"/>
        <v>0</v>
      </c>
      <c r="AC20" s="511" t="s">
        <v>209</v>
      </c>
      <c r="AD20" s="535"/>
      <c r="AE20" s="536"/>
      <c r="AG20" s="571"/>
      <c r="AH20" s="303" t="s">
        <v>321</v>
      </c>
      <c r="AI20" s="169">
        <v>7.5</v>
      </c>
      <c r="AJ20" s="169">
        <v>7.5</v>
      </c>
      <c r="AK20" s="169"/>
      <c r="AL20" s="169"/>
      <c r="AM20" s="169">
        <v>7.5</v>
      </c>
      <c r="AN20" s="171">
        <v>5</v>
      </c>
      <c r="AO20" s="171"/>
      <c r="AP20" s="171"/>
      <c r="AQ20" s="239">
        <f t="shared" si="1"/>
        <v>190.5</v>
      </c>
      <c r="AR20" s="240">
        <f t="shared" si="2"/>
        <v>190.5</v>
      </c>
      <c r="AS20" s="240"/>
      <c r="AT20" s="240"/>
      <c r="AU20" s="240">
        <f t="shared" si="3"/>
        <v>190.5</v>
      </c>
      <c r="AV20" s="241">
        <f>AN20*25.4</f>
        <v>127</v>
      </c>
      <c r="AW20" s="242"/>
      <c r="AX20" s="243"/>
    </row>
    <row r="21" spans="1:52" x14ac:dyDescent="0.15">
      <c r="A21" s="531"/>
      <c r="B21" s="532"/>
      <c r="C21" s="296">
        <f>'ORDER FORM'!D32</f>
        <v>0</v>
      </c>
      <c r="D21" s="248">
        <f>'ORDER FORM'!E32*cf</f>
        <v>0</v>
      </c>
      <c r="E21" s="301">
        <f>'ORDER FORM'!F32*cf</f>
        <v>0</v>
      </c>
      <c r="F21" s="227"/>
      <c r="G21" s="533"/>
      <c r="H21" s="530"/>
      <c r="I21" s="296">
        <f>'ORDER FORM'!J32</f>
        <v>0</v>
      </c>
      <c r="J21" s="300">
        <f>'ORDER FORM'!K32*cf</f>
        <v>0</v>
      </c>
      <c r="K21" s="301">
        <f>'ORDER FORM'!L32*cf</f>
        <v>0</v>
      </c>
      <c r="L21" s="227"/>
      <c r="M21" s="247" t="s">
        <v>248</v>
      </c>
      <c r="N21" s="245" t="s">
        <v>249</v>
      </c>
      <c r="O21" s="246" t="s">
        <v>68</v>
      </c>
      <c r="T21" s="248">
        <f t="shared" si="4"/>
        <v>0</v>
      </c>
      <c r="U21" s="250">
        <f t="shared" si="5"/>
        <v>0</v>
      </c>
      <c r="V21" s="227"/>
      <c r="Z21" s="251">
        <f t="shared" si="6"/>
        <v>0</v>
      </c>
      <c r="AA21" s="252">
        <f t="shared" si="7"/>
        <v>0</v>
      </c>
      <c r="AD21" s="245" t="s">
        <v>211</v>
      </c>
      <c r="AE21" s="246" t="s">
        <v>212</v>
      </c>
      <c r="AG21" s="572"/>
      <c r="AH21" s="303" t="s">
        <v>322</v>
      </c>
      <c r="AI21" s="169">
        <v>7.5</v>
      </c>
      <c r="AJ21" s="169">
        <v>7.5</v>
      </c>
      <c r="AK21" s="169"/>
      <c r="AL21" s="169"/>
      <c r="AM21" s="169">
        <v>7.5</v>
      </c>
      <c r="AN21" s="171">
        <v>5</v>
      </c>
      <c r="AO21" s="171"/>
      <c r="AP21" s="171"/>
      <c r="AQ21" s="239">
        <f t="shared" si="1"/>
        <v>190.5</v>
      </c>
      <c r="AR21" s="240">
        <f t="shared" si="2"/>
        <v>190.5</v>
      </c>
      <c r="AS21" s="240"/>
      <c r="AT21" s="240"/>
      <c r="AU21" s="240">
        <f t="shared" si="3"/>
        <v>190.5</v>
      </c>
      <c r="AV21" s="241">
        <f>AN21*25.4</f>
        <v>127</v>
      </c>
      <c r="AW21" s="242"/>
      <c r="AX21" s="243"/>
    </row>
    <row r="22" spans="1:52" x14ac:dyDescent="0.15">
      <c r="A22" s="531"/>
      <c r="B22" s="532"/>
      <c r="C22" s="296">
        <f>'ORDER FORM'!D33</f>
        <v>0</v>
      </c>
      <c r="D22" s="248">
        <f>'ORDER FORM'!E33*cf</f>
        <v>0</v>
      </c>
      <c r="E22" s="301">
        <f>'ORDER FORM'!F33*cf</f>
        <v>0</v>
      </c>
      <c r="F22" s="227"/>
      <c r="G22" s="533"/>
      <c r="H22" s="530"/>
      <c r="I22" s="296">
        <f>'ORDER FORM'!J33</f>
        <v>0</v>
      </c>
      <c r="J22" s="300">
        <f>'ORDER FORM'!K33*cf</f>
        <v>0</v>
      </c>
      <c r="K22" s="301">
        <f>'ORDER FORM'!L33*cf</f>
        <v>0</v>
      </c>
      <c r="L22" s="227"/>
      <c r="M22" s="249">
        <f>'ORDER FORM'!O33</f>
        <v>0</v>
      </c>
      <c r="N22" s="300">
        <f>'ORDER FORM'!P33*cf</f>
        <v>0</v>
      </c>
      <c r="O22" s="301">
        <f>'ORDER FORM'!R33*cf</f>
        <v>0</v>
      </c>
      <c r="T22" s="248">
        <f t="shared" si="4"/>
        <v>0</v>
      </c>
      <c r="U22" s="250">
        <f t="shared" si="5"/>
        <v>0</v>
      </c>
      <c r="V22" s="227"/>
      <c r="Z22" s="251">
        <f t="shared" si="6"/>
        <v>0</v>
      </c>
      <c r="AA22" s="252">
        <f t="shared" si="7"/>
        <v>0</v>
      </c>
      <c r="AD22" s="251">
        <f>IF(M36=0,0,IF(N36&lt;$AQ$38,-1,1))</f>
        <v>0</v>
      </c>
      <c r="AE22" s="252">
        <f>IF(M36=0,0,IF(O36&lt;$AR$38,-1,1))</f>
        <v>0</v>
      </c>
      <c r="AG22" s="242"/>
      <c r="AH22" s="303"/>
      <c r="AI22" s="169"/>
      <c r="AJ22" s="169"/>
      <c r="AK22" s="169"/>
      <c r="AL22" s="169"/>
      <c r="AM22" s="169"/>
      <c r="AN22" s="171"/>
      <c r="AO22" s="171"/>
      <c r="AP22" s="171"/>
      <c r="AQ22" s="239"/>
      <c r="AR22" s="240"/>
      <c r="AS22" s="240"/>
      <c r="AT22" s="240"/>
      <c r="AU22" s="240"/>
      <c r="AV22" s="241"/>
      <c r="AW22" s="242"/>
      <c r="AX22" s="243"/>
    </row>
    <row r="23" spans="1:52" ht="14" thickBot="1" x14ac:dyDescent="0.2">
      <c r="A23" s="227"/>
      <c r="B23" s="227"/>
      <c r="C23" s="227"/>
      <c r="D23" s="227"/>
      <c r="E23" s="227"/>
      <c r="F23" s="227"/>
      <c r="G23" s="227"/>
      <c r="H23" s="227"/>
      <c r="I23" s="227"/>
      <c r="J23" s="227"/>
      <c r="K23" s="227"/>
      <c r="L23" s="227"/>
      <c r="M23" s="249">
        <f>'ORDER FORM'!O34</f>
        <v>0</v>
      </c>
      <c r="N23" s="300">
        <f>'ORDER FORM'!P34*cf</f>
        <v>0</v>
      </c>
      <c r="O23" s="301">
        <f>'ORDER FORM'!R34*cf</f>
        <v>0</v>
      </c>
      <c r="AD23" s="251">
        <f t="shared" ref="AD23:AD31" si="10">IF(M37=0,0,IF(N37&lt;$AQ$38,-1,1))</f>
        <v>0</v>
      </c>
      <c r="AE23" s="252">
        <f t="shared" ref="AE23:AE31" si="11">IF(M37=0,0,IF(O37&lt;$AR$38,-1,1))</f>
        <v>0</v>
      </c>
      <c r="AG23" s="569" t="s">
        <v>326</v>
      </c>
      <c r="AH23" s="303" t="s">
        <v>141</v>
      </c>
      <c r="AI23" s="169">
        <v>5</v>
      </c>
      <c r="AJ23" s="169">
        <v>5</v>
      </c>
      <c r="AK23" s="169"/>
      <c r="AL23" s="169"/>
      <c r="AM23" s="169">
        <v>4.875</v>
      </c>
      <c r="AN23" s="171">
        <v>4.875</v>
      </c>
      <c r="AO23" s="171">
        <v>5</v>
      </c>
      <c r="AP23" s="171">
        <v>5</v>
      </c>
      <c r="AQ23" s="239">
        <f t="shared" si="1"/>
        <v>127</v>
      </c>
      <c r="AR23" s="240">
        <f t="shared" si="2"/>
        <v>127</v>
      </c>
      <c r="AS23" s="240"/>
      <c r="AT23" s="240"/>
      <c r="AU23" s="240">
        <f t="shared" si="3"/>
        <v>123.82499999999999</v>
      </c>
      <c r="AV23" s="241">
        <f t="shared" ref="AV23:AX24" si="12">AN23*25.4</f>
        <v>123.82499999999999</v>
      </c>
      <c r="AW23" s="240">
        <f t="shared" si="12"/>
        <v>127</v>
      </c>
      <c r="AX23" s="254">
        <f t="shared" si="12"/>
        <v>127</v>
      </c>
    </row>
    <row r="24" spans="1:52" x14ac:dyDescent="0.15">
      <c r="A24" s="511" t="s">
        <v>301</v>
      </c>
      <c r="B24" s="535"/>
      <c r="C24" s="537"/>
      <c r="D24" s="537"/>
      <c r="E24" s="537"/>
      <c r="F24" s="537"/>
      <c r="G24" s="538"/>
      <c r="H24" s="228"/>
      <c r="I24" s="228"/>
      <c r="J24" s="228"/>
      <c r="K24" s="228"/>
      <c r="L24" s="228"/>
      <c r="M24" s="249">
        <f>'ORDER FORM'!O35</f>
        <v>0</v>
      </c>
      <c r="N24" s="300">
        <f>'ORDER FORM'!P35*cf</f>
        <v>0</v>
      </c>
      <c r="O24" s="301">
        <f>'ORDER FORM'!R35*cf</f>
        <v>0</v>
      </c>
      <c r="Q24" s="511" t="s">
        <v>301</v>
      </c>
      <c r="R24" s="535"/>
      <c r="S24" s="537"/>
      <c r="T24" s="537"/>
      <c r="U24" s="537"/>
      <c r="V24" s="537"/>
      <c r="W24" s="538"/>
      <c r="AD24" s="251">
        <f t="shared" si="10"/>
        <v>0</v>
      </c>
      <c r="AE24" s="252">
        <f t="shared" si="11"/>
        <v>0</v>
      </c>
      <c r="AG24" s="372"/>
      <c r="AH24" s="303" t="s">
        <v>323</v>
      </c>
      <c r="AI24" s="169">
        <v>6.25</v>
      </c>
      <c r="AJ24" s="169">
        <v>6.25</v>
      </c>
      <c r="AK24" s="169"/>
      <c r="AL24" s="169"/>
      <c r="AM24" s="169">
        <v>4.875</v>
      </c>
      <c r="AN24" s="169">
        <v>4.875</v>
      </c>
      <c r="AO24" s="169">
        <v>5</v>
      </c>
      <c r="AP24" s="171">
        <v>5</v>
      </c>
      <c r="AQ24" s="239">
        <f t="shared" si="1"/>
        <v>158.75</v>
      </c>
      <c r="AR24" s="240">
        <f t="shared" si="2"/>
        <v>158.75</v>
      </c>
      <c r="AS24" s="240"/>
      <c r="AT24" s="240"/>
      <c r="AU24" s="240">
        <f t="shared" si="3"/>
        <v>123.82499999999999</v>
      </c>
      <c r="AV24" s="241">
        <f t="shared" si="12"/>
        <v>123.82499999999999</v>
      </c>
      <c r="AW24" s="240">
        <f t="shared" si="12"/>
        <v>127</v>
      </c>
      <c r="AX24" s="254">
        <f t="shared" si="12"/>
        <v>127</v>
      </c>
    </row>
    <row r="25" spans="1:52" x14ac:dyDescent="0.15">
      <c r="A25" s="518" t="s">
        <v>302</v>
      </c>
      <c r="B25" s="519"/>
      <c r="C25" s="520">
        <f>C6</f>
        <v>0</v>
      </c>
      <c r="D25" s="520"/>
      <c r="E25" s="539"/>
      <c r="F25" s="540"/>
      <c r="G25" s="541"/>
      <c r="H25" s="227"/>
      <c r="I25" s="227"/>
      <c r="J25" s="227"/>
      <c r="K25" s="227"/>
      <c r="L25" s="227"/>
      <c r="M25" s="249">
        <f>'ORDER FORM'!O36</f>
        <v>0</v>
      </c>
      <c r="N25" s="300">
        <f>'ORDER FORM'!P36*cf</f>
        <v>0</v>
      </c>
      <c r="O25" s="301">
        <f>'ORDER FORM'!R36*cf</f>
        <v>0</v>
      </c>
      <c r="Q25" s="238"/>
      <c r="R25" s="238"/>
      <c r="S25" s="238"/>
      <c r="T25" s="238"/>
      <c r="U25" s="539"/>
      <c r="V25" s="540"/>
      <c r="W25" s="541"/>
      <c r="AD25" s="251">
        <f t="shared" si="10"/>
        <v>0</v>
      </c>
      <c r="AE25" s="252">
        <f t="shared" si="11"/>
        <v>0</v>
      </c>
      <c r="AG25" s="242"/>
      <c r="AH25" s="255"/>
      <c r="AI25" s="170"/>
      <c r="AJ25" s="169"/>
      <c r="AK25" s="169"/>
      <c r="AL25" s="169"/>
      <c r="AM25" s="169"/>
      <c r="AN25" s="171"/>
      <c r="AO25" s="171"/>
      <c r="AP25" s="171"/>
      <c r="AQ25" s="239"/>
      <c r="AR25" s="240"/>
      <c r="AS25" s="240"/>
      <c r="AT25" s="240"/>
      <c r="AU25" s="240"/>
      <c r="AV25" s="241"/>
      <c r="AW25" s="240"/>
      <c r="AX25" s="254"/>
    </row>
    <row r="26" spans="1:52" x14ac:dyDescent="0.15">
      <c r="A26" s="527" t="s">
        <v>303</v>
      </c>
      <c r="B26" s="528"/>
      <c r="C26" s="297" t="s">
        <v>304</v>
      </c>
      <c r="D26" s="298" t="s">
        <v>305</v>
      </c>
      <c r="E26" s="298" t="s">
        <v>306</v>
      </c>
      <c r="F26" s="565" t="s">
        <v>307</v>
      </c>
      <c r="G26" s="566"/>
      <c r="H26" s="227"/>
      <c r="I26" s="227"/>
      <c r="J26" s="227"/>
      <c r="K26" s="227"/>
      <c r="L26" s="227"/>
      <c r="M26" s="249">
        <f>'ORDER FORM'!O37</f>
        <v>0</v>
      </c>
      <c r="N26" s="300">
        <f>'ORDER FORM'!P37*cf</f>
        <v>0</v>
      </c>
      <c r="O26" s="301">
        <f>'ORDER FORM'!R37*cf</f>
        <v>0</v>
      </c>
      <c r="T26" s="298" t="s">
        <v>305</v>
      </c>
      <c r="U26" s="298" t="s">
        <v>306</v>
      </c>
      <c r="AD26" s="251">
        <f t="shared" si="10"/>
        <v>0</v>
      </c>
      <c r="AE26" s="252">
        <f t="shared" si="11"/>
        <v>0</v>
      </c>
      <c r="AG26" s="569" t="s">
        <v>70</v>
      </c>
      <c r="AH26" s="303" t="s">
        <v>141</v>
      </c>
      <c r="AI26" s="170">
        <v>7</v>
      </c>
      <c r="AJ26" s="169">
        <v>7</v>
      </c>
      <c r="AK26" s="169"/>
      <c r="AL26" s="169"/>
      <c r="AM26" s="169">
        <v>4.875</v>
      </c>
      <c r="AN26" s="169">
        <v>4.875</v>
      </c>
      <c r="AO26" s="169">
        <v>7</v>
      </c>
      <c r="AP26" s="171">
        <v>7</v>
      </c>
      <c r="AQ26" s="239">
        <f t="shared" si="1"/>
        <v>177.79999999999998</v>
      </c>
      <c r="AR26" s="240">
        <f t="shared" si="2"/>
        <v>177.79999999999998</v>
      </c>
      <c r="AS26" s="240"/>
      <c r="AT26" s="240"/>
      <c r="AU26" s="240">
        <f t="shared" si="3"/>
        <v>123.82499999999999</v>
      </c>
      <c r="AV26" s="241">
        <f t="shared" ref="AV26:AX27" si="13">AN26*25.4</f>
        <v>123.82499999999999</v>
      </c>
      <c r="AW26" s="240">
        <f t="shared" si="13"/>
        <v>177.79999999999998</v>
      </c>
      <c r="AX26" s="254">
        <f t="shared" si="13"/>
        <v>177.79999999999998</v>
      </c>
    </row>
    <row r="27" spans="1:52" ht="14" thickBot="1" x14ac:dyDescent="0.2">
      <c r="A27" s="531"/>
      <c r="B27" s="532"/>
      <c r="C27" s="296">
        <f>'ORDER FORM'!D39</f>
        <v>0</v>
      </c>
      <c r="D27" s="300">
        <f>'ORDER FORM'!E39*cf</f>
        <v>0</v>
      </c>
      <c r="E27" s="300">
        <f>'ORDER FORM'!F39*cf</f>
        <v>0</v>
      </c>
      <c r="F27" s="542">
        <f>'ORDER FORM'!G39</f>
        <v>0</v>
      </c>
      <c r="G27" s="543"/>
      <c r="H27" s="227"/>
      <c r="I27" s="227"/>
      <c r="J27" s="227"/>
      <c r="K27" s="227"/>
      <c r="L27" s="227"/>
      <c r="M27" s="249">
        <f>'ORDER FORM'!O38</f>
        <v>0</v>
      </c>
      <c r="N27" s="300">
        <f>'ORDER FORM'!P38*cf</f>
        <v>0</v>
      </c>
      <c r="O27" s="301">
        <f>'ORDER FORM'!R38*cf</f>
        <v>0</v>
      </c>
      <c r="T27" s="251">
        <f t="shared" ref="T27:T32" si="14">IF(C27=0,0,IF(D27&lt;$AQ$36,-1,1))</f>
        <v>0</v>
      </c>
      <c r="U27" s="251">
        <f t="shared" ref="U27:U32" si="15">IF(C27=0,0,IF(E27&lt;$AR$36,-1,1))</f>
        <v>0</v>
      </c>
      <c r="AD27" s="251">
        <f t="shared" si="10"/>
        <v>0</v>
      </c>
      <c r="AE27" s="252">
        <f t="shared" si="11"/>
        <v>0</v>
      </c>
      <c r="AG27" s="372"/>
      <c r="AH27" s="303" t="s">
        <v>323</v>
      </c>
      <c r="AI27" s="170">
        <v>8.25</v>
      </c>
      <c r="AJ27" s="169">
        <v>8.25</v>
      </c>
      <c r="AK27" s="169"/>
      <c r="AL27" s="169"/>
      <c r="AM27" s="169">
        <v>4.875</v>
      </c>
      <c r="AN27" s="169">
        <v>4.875</v>
      </c>
      <c r="AO27" s="169">
        <v>7</v>
      </c>
      <c r="AP27" s="171">
        <v>7</v>
      </c>
      <c r="AQ27" s="256">
        <f t="shared" si="1"/>
        <v>209.54999999999998</v>
      </c>
      <c r="AR27" s="257">
        <f t="shared" si="2"/>
        <v>209.54999999999998</v>
      </c>
      <c r="AS27" s="257"/>
      <c r="AT27" s="257"/>
      <c r="AU27" s="257">
        <f t="shared" si="3"/>
        <v>123.82499999999999</v>
      </c>
      <c r="AV27" s="258">
        <f t="shared" si="13"/>
        <v>123.82499999999999</v>
      </c>
      <c r="AW27" s="257">
        <f t="shared" si="13"/>
        <v>177.79999999999998</v>
      </c>
      <c r="AX27" s="259">
        <f t="shared" si="13"/>
        <v>177.79999999999998</v>
      </c>
    </row>
    <row r="28" spans="1:52" ht="14" thickBot="1" x14ac:dyDescent="0.2">
      <c r="A28" s="531"/>
      <c r="B28" s="532"/>
      <c r="C28" s="296">
        <f>'ORDER FORM'!D40</f>
        <v>0</v>
      </c>
      <c r="D28" s="300">
        <f>'ORDER FORM'!E40*cf</f>
        <v>0</v>
      </c>
      <c r="E28" s="300">
        <f>'ORDER FORM'!F40*cf</f>
        <v>0</v>
      </c>
      <c r="F28" s="542">
        <f>'ORDER FORM'!G40</f>
        <v>0</v>
      </c>
      <c r="G28" s="543"/>
      <c r="H28" s="227"/>
      <c r="I28" s="227"/>
      <c r="J28" s="227"/>
      <c r="K28" s="227"/>
      <c r="L28" s="227"/>
      <c r="M28" s="249">
        <f>'ORDER FORM'!O39</f>
        <v>0</v>
      </c>
      <c r="N28" s="300">
        <f>'ORDER FORM'!P39*cf</f>
        <v>0</v>
      </c>
      <c r="O28" s="301">
        <f>'ORDER FORM'!R39*cf</f>
        <v>0</v>
      </c>
      <c r="T28" s="251">
        <f t="shared" si="14"/>
        <v>0</v>
      </c>
      <c r="U28" s="251">
        <f t="shared" si="15"/>
        <v>0</v>
      </c>
      <c r="AD28" s="251">
        <f t="shared" si="10"/>
        <v>0</v>
      </c>
      <c r="AE28" s="252">
        <f t="shared" si="11"/>
        <v>0</v>
      </c>
      <c r="AI28" s="229"/>
    </row>
    <row r="29" spans="1:52" ht="14" thickBot="1" x14ac:dyDescent="0.2">
      <c r="A29" s="531"/>
      <c r="B29" s="532"/>
      <c r="C29" s="296">
        <f>'ORDER FORM'!D41</f>
        <v>0</v>
      </c>
      <c r="D29" s="300">
        <f>'ORDER FORM'!E41*cf</f>
        <v>0</v>
      </c>
      <c r="E29" s="300">
        <f>'ORDER FORM'!F41*cf</f>
        <v>0</v>
      </c>
      <c r="F29" s="542">
        <f>'ORDER FORM'!G41</f>
        <v>0</v>
      </c>
      <c r="G29" s="543"/>
      <c r="H29" s="227"/>
      <c r="I29" s="227"/>
      <c r="J29" s="227"/>
      <c r="K29" s="227"/>
      <c r="L29" s="227"/>
      <c r="M29" s="249">
        <f>'ORDER FORM'!O40</f>
        <v>0</v>
      </c>
      <c r="N29" s="300">
        <f>'ORDER FORM'!P40*cf</f>
        <v>0</v>
      </c>
      <c r="O29" s="301">
        <f>'ORDER FORM'!R40*cf</f>
        <v>0</v>
      </c>
      <c r="T29" s="251">
        <f t="shared" si="14"/>
        <v>0</v>
      </c>
      <c r="U29" s="251">
        <f t="shared" si="15"/>
        <v>0</v>
      </c>
      <c r="AD29" s="251">
        <f t="shared" si="10"/>
        <v>0</v>
      </c>
      <c r="AE29" s="252">
        <f t="shared" si="11"/>
        <v>0</v>
      </c>
      <c r="AH29" s="260" t="s">
        <v>393</v>
      </c>
      <c r="AI29" s="229">
        <v>24</v>
      </c>
      <c r="AJ29" s="261">
        <v>48</v>
      </c>
      <c r="AQ29" s="262">
        <f>AI29*25.4</f>
        <v>609.59999999999991</v>
      </c>
      <c r="AR29" s="263">
        <f>AJ29*25.4</f>
        <v>1219.1999999999998</v>
      </c>
    </row>
    <row r="30" spans="1:52" x14ac:dyDescent="0.15">
      <c r="A30" s="531"/>
      <c r="B30" s="532"/>
      <c r="C30" s="296">
        <f>'ORDER FORM'!D42</f>
        <v>0</v>
      </c>
      <c r="D30" s="300">
        <f>'ORDER FORM'!E42*cf</f>
        <v>0</v>
      </c>
      <c r="E30" s="300">
        <f>'ORDER FORM'!F42*cf</f>
        <v>0</v>
      </c>
      <c r="F30" s="542">
        <f>'ORDER FORM'!G42</f>
        <v>0</v>
      </c>
      <c r="G30" s="543"/>
      <c r="H30" s="227"/>
      <c r="I30" s="227"/>
      <c r="J30" s="227"/>
      <c r="K30" s="227"/>
      <c r="L30" s="227"/>
      <c r="M30" s="249">
        <f>'ORDER FORM'!O41</f>
        <v>0</v>
      </c>
      <c r="N30" s="300">
        <f>'ORDER FORM'!P41*cf</f>
        <v>0</v>
      </c>
      <c r="O30" s="301">
        <f>'ORDER FORM'!R41*cf</f>
        <v>0</v>
      </c>
      <c r="T30" s="251">
        <f t="shared" si="14"/>
        <v>0</v>
      </c>
      <c r="U30" s="251">
        <f t="shared" si="15"/>
        <v>0</v>
      </c>
      <c r="AD30" s="251">
        <f t="shared" si="10"/>
        <v>0</v>
      </c>
      <c r="AE30" s="252">
        <f t="shared" si="11"/>
        <v>0</v>
      </c>
      <c r="AI30" s="229"/>
    </row>
    <row r="31" spans="1:52" x14ac:dyDescent="0.15">
      <c r="A31" s="531"/>
      <c r="B31" s="532"/>
      <c r="C31" s="296">
        <f>'ORDER FORM'!D43</f>
        <v>0</v>
      </c>
      <c r="D31" s="300">
        <f>'ORDER FORM'!E43*cf</f>
        <v>0</v>
      </c>
      <c r="E31" s="300">
        <f>'ORDER FORM'!F43*cf</f>
        <v>0</v>
      </c>
      <c r="F31" s="542">
        <f>'ORDER FORM'!G43</f>
        <v>0</v>
      </c>
      <c r="G31" s="543"/>
      <c r="H31" s="227"/>
      <c r="I31" s="227"/>
      <c r="J31" s="227"/>
      <c r="K31" s="227"/>
      <c r="L31" s="227"/>
      <c r="M31" s="249">
        <f>'ORDER FORM'!O42</f>
        <v>0</v>
      </c>
      <c r="N31" s="300">
        <f>'ORDER FORM'!P42*cf</f>
        <v>0</v>
      </c>
      <c r="O31" s="301">
        <f>'ORDER FORM'!R42*cf</f>
        <v>0</v>
      </c>
      <c r="T31" s="251">
        <f t="shared" si="14"/>
        <v>0</v>
      </c>
      <c r="U31" s="251">
        <f t="shared" si="15"/>
        <v>0</v>
      </c>
      <c r="AD31" s="251">
        <f t="shared" si="10"/>
        <v>0</v>
      </c>
      <c r="AE31" s="252">
        <f t="shared" si="11"/>
        <v>0</v>
      </c>
      <c r="AI31" s="229"/>
      <c r="AQ31" s="264" t="e">
        <f>IF(c.style=2,INDEX(AQ6:AV10,c.rail,1),IF(c.style=1,INDEX(AQ12:AV16,c.rail,1),IF(c.style=5,INDEX(AQ23:AV24,IF(c.rail&lt;=8,1,2),1),IF(c.style=6,INDEX(AQ26:AV27,IF(c.rail&lt;=8,1,2),1),INDEX(AQ18:AV21,c.rail,1)))))</f>
        <v>#VALUE!</v>
      </c>
      <c r="AR31" s="132" t="e">
        <f>IF(c.style=2,INDEX(AQ6:AV10,c.rail,2),IF(c.style=1,INDEX(AQ12:AV16,c.rail,2),IF(c.style=5,INDEX(AQ23:AV24,IF(c.rail&lt;=8,1,2),2),IF(c.style=6,INDEX(AQ26:AV27,IF(c.rail&lt;=8,1,2),2),INDEX(AQ18:AV21,c.rail,2)))))</f>
        <v>#VALUE!</v>
      </c>
      <c r="AS31" s="132" t="e">
        <f>IF(c.style=2,INDEX(AQ6:AV10,c.rail,3),IF(c.style=1,INDEX(AQ12:AV16,c.rail,3),IF(c.style=5,0,IF(c.style=6,0,INDEX(AQ18:AV21,c.rail,3)))))</f>
        <v>#VALUE!</v>
      </c>
      <c r="AT31" s="132" t="e">
        <f>IF(c.style=2,INDEX(AQ6:AV10,c.rail,4),IF(c.style=1,INDEX(AQ12:AV16,c.rail,4),IF(c.style=5,0,IF(c.style=6,0,INDEX(AQ18:AV21,c.rail,4)))))</f>
        <v>#VALUE!</v>
      </c>
      <c r="AU31" s="132" t="e">
        <f>IF(c.style=2,INDEX(AQ6:AV10,c.rail,5),IF(c.style=1,INDEX(AQ12:AV16,c.rail,5),IF(c.style=5,INDEX(AQ23:AV24,IF(c.rail&lt;=8,1,2),5),IF(c.style=6,INDEX(AQ26:AV27,IF(c.rail&lt;=8,1,2),5),INDEX(AQ18:AV21,c.rail,5)))))</f>
        <v>#VALUE!</v>
      </c>
      <c r="AV31" s="132" t="e">
        <f>IF(c.style=2,INDEX(AQ6:AV10,c.rail,6),IF(c.style=1,INDEX(AQ12:AV16,c.rail,6),IF(c.style=5,INDEX(AQ23:AV24,IF(c.rail&lt;=8,1,2),6),IF(c.style=6,INDEX(AQ26:AV27,IF(c.rail&lt;=8,1,2),6),INDEX(AQ18:AV21,c.rail,6)))))</f>
        <v>#VALUE!</v>
      </c>
      <c r="AW31" s="132">
        <f>IF(c.style=2,0,IF(c.style=1,0,IF(c.style=5,INDEX(AQ23:AX24,IF(c.df.opt.c&lt;=8,1,2),7),IF(c.style=6,INDEX(AQ26:AX27,IF(c.df.opt.c&lt;=8,1,2),7),0))))</f>
        <v>0</v>
      </c>
      <c r="AX31" s="132">
        <f>IF(c.style=2,0,IF(c.style=1,0,IF(c.style=5,INDEX(AQ23:AY24,IF(c.df.opt.c&lt;=8,1,2),8),IF(c.style=6,INDEX(AQ26:AY27,IF(c.df.opt.c&lt;=8,1,2),8),0))))</f>
        <v>0</v>
      </c>
      <c r="AZ31" s="132" t="s">
        <v>348</v>
      </c>
    </row>
    <row r="32" spans="1:52" ht="13" customHeight="1" thickBot="1" x14ac:dyDescent="0.2">
      <c r="A32" s="531"/>
      <c r="B32" s="532"/>
      <c r="C32" s="296">
        <f>'ORDER FORM'!D44</f>
        <v>0</v>
      </c>
      <c r="D32" s="300">
        <f>'ORDER FORM'!E44*cf</f>
        <v>0</v>
      </c>
      <c r="E32" s="300">
        <f>'ORDER FORM'!F44*cf</f>
        <v>0</v>
      </c>
      <c r="F32" s="542">
        <f>'ORDER FORM'!G44</f>
        <v>0</v>
      </c>
      <c r="G32" s="543"/>
      <c r="H32" s="227"/>
      <c r="I32" s="227"/>
      <c r="J32" s="227"/>
      <c r="K32" s="227"/>
      <c r="L32" s="227"/>
      <c r="M32" s="227"/>
      <c r="N32" s="227"/>
      <c r="O32" s="227"/>
      <c r="T32" s="251">
        <f t="shared" si="14"/>
        <v>0</v>
      </c>
      <c r="U32" s="251">
        <f t="shared" si="15"/>
        <v>0</v>
      </c>
      <c r="AC32" s="227"/>
      <c r="AD32" s="227"/>
      <c r="AE32" s="227"/>
      <c r="AL32" s="504" t="s">
        <v>84</v>
      </c>
      <c r="AM32" s="504"/>
      <c r="AN32" s="504"/>
      <c r="AO32" s="504"/>
      <c r="AP32" s="295"/>
      <c r="AQ32" s="502" t="e">
        <f t="shared" ref="AQ32:AV32" si="16">IF(c.panel&lt;&gt;12,AQ31,AQ31+25.4)</f>
        <v>#VALUE!</v>
      </c>
      <c r="AR32" s="502" t="e">
        <f t="shared" si="16"/>
        <v>#VALUE!</v>
      </c>
      <c r="AS32" s="502" t="e">
        <f t="shared" si="16"/>
        <v>#VALUE!</v>
      </c>
      <c r="AT32" s="502" t="e">
        <f t="shared" si="16"/>
        <v>#VALUE!</v>
      </c>
      <c r="AU32" s="502" t="e">
        <f t="shared" si="16"/>
        <v>#VALUE!</v>
      </c>
      <c r="AV32" s="502" t="e">
        <f t="shared" si="16"/>
        <v>#VALUE!</v>
      </c>
      <c r="AW32" s="502">
        <f>IF(c.panel&lt;&gt;12,AW31,AW31+25.4)</f>
        <v>0</v>
      </c>
      <c r="AX32" s="502">
        <f>IF(c.panel&lt;&gt;12,AX31,AX31+25.4)</f>
        <v>0</v>
      </c>
    </row>
    <row r="33" spans="1:50" ht="14" thickBot="1" x14ac:dyDescent="0.2">
      <c r="A33" s="227"/>
      <c r="B33" s="227"/>
      <c r="C33" s="227"/>
      <c r="D33" s="227"/>
      <c r="E33" s="227"/>
      <c r="F33" s="227"/>
      <c r="G33" s="227"/>
      <c r="H33" s="227"/>
      <c r="I33" s="227"/>
      <c r="J33" s="227"/>
      <c r="K33" s="227"/>
      <c r="L33" s="227"/>
      <c r="M33" s="511" t="s">
        <v>308</v>
      </c>
      <c r="N33" s="535"/>
      <c r="O33" s="536"/>
      <c r="AL33" s="504"/>
      <c r="AM33" s="504"/>
      <c r="AN33" s="504"/>
      <c r="AO33" s="504"/>
      <c r="AP33" s="295"/>
      <c r="AQ33" s="503"/>
      <c r="AR33" s="503"/>
      <c r="AS33" s="503"/>
      <c r="AT33" s="503"/>
      <c r="AU33" s="503"/>
      <c r="AV33" s="503"/>
      <c r="AW33" s="503"/>
      <c r="AX33" s="503"/>
    </row>
    <row r="34" spans="1:50" ht="14" thickBot="1" x14ac:dyDescent="0.2">
      <c r="A34" s="553" t="s">
        <v>309</v>
      </c>
      <c r="B34" s="554"/>
      <c r="C34" s="554"/>
      <c r="D34" s="554"/>
      <c r="E34" s="554"/>
      <c r="F34" s="554"/>
      <c r="G34" s="555"/>
      <c r="H34" s="228"/>
      <c r="I34" s="556" t="s">
        <v>138</v>
      </c>
      <c r="J34" s="557"/>
      <c r="K34" s="558"/>
      <c r="L34" s="227"/>
      <c r="M34" s="511" t="s">
        <v>209</v>
      </c>
      <c r="N34" s="535"/>
      <c r="O34" s="536"/>
      <c r="AI34" s="229"/>
      <c r="AS34" s="264"/>
      <c r="AT34" s="264"/>
    </row>
    <row r="35" spans="1:50" x14ac:dyDescent="0.15">
      <c r="A35" s="265" t="s">
        <v>210</v>
      </c>
      <c r="B35" s="561" t="s">
        <v>211</v>
      </c>
      <c r="C35" s="562"/>
      <c r="D35" s="266" t="s">
        <v>212</v>
      </c>
      <c r="E35" s="561" t="s">
        <v>213</v>
      </c>
      <c r="F35" s="563"/>
      <c r="G35" s="564"/>
      <c r="H35" s="228"/>
      <c r="I35" s="267" t="s">
        <v>214</v>
      </c>
      <c r="J35" s="544">
        <f>'ORDER FORM'!L53</f>
        <v>0</v>
      </c>
      <c r="K35" s="545"/>
      <c r="L35" s="227"/>
      <c r="M35" s="247" t="s">
        <v>210</v>
      </c>
      <c r="N35" s="245" t="s">
        <v>211</v>
      </c>
      <c r="O35" s="246" t="s">
        <v>212</v>
      </c>
      <c r="AH35" s="260" t="s">
        <v>127</v>
      </c>
      <c r="AI35" s="229"/>
      <c r="AL35" s="268" t="s">
        <v>235</v>
      </c>
      <c r="AM35" s="269"/>
      <c r="AN35" s="269"/>
      <c r="AO35" s="269"/>
      <c r="AP35" s="269"/>
      <c r="AQ35" s="270" t="e">
        <f>IF(AND(c.design.upper&gt;1,c.design.upper&lt;6),AS32,AQ32)</f>
        <v>#VALUE!</v>
      </c>
      <c r="AR35" s="271" t="e">
        <f>IF(AND(c.design.upper&gt;1,c.design.upper&lt;6),AT32,AR32)</f>
        <v>#VALUE!</v>
      </c>
      <c r="AS35" s="264"/>
      <c r="AT35" s="264"/>
    </row>
    <row r="36" spans="1:50" x14ac:dyDescent="0.15">
      <c r="A36" s="249">
        <f>'ORDER FORM'!H48</f>
        <v>0</v>
      </c>
      <c r="B36" s="551">
        <f>'ORDER FORM'!I48*cf</f>
        <v>0</v>
      </c>
      <c r="C36" s="552"/>
      <c r="D36" s="300">
        <f>'ORDER FORM'!K48*cf</f>
        <v>0</v>
      </c>
      <c r="E36" s="550">
        <f>'ORDER FORM'!L48</f>
        <v>0</v>
      </c>
      <c r="F36" s="544"/>
      <c r="G36" s="545"/>
      <c r="H36" s="272"/>
      <c r="I36" s="302" t="s">
        <v>215</v>
      </c>
      <c r="J36" s="298" t="s">
        <v>216</v>
      </c>
      <c r="K36" s="299" t="s">
        <v>217</v>
      </c>
      <c r="L36" s="227"/>
      <c r="M36" s="249">
        <f>'ORDER FORM'!O47</f>
        <v>0</v>
      </c>
      <c r="N36" s="300">
        <f>'ORDER FORM'!P47*cf</f>
        <v>0</v>
      </c>
      <c r="O36" s="301">
        <f>'ORDER FORM'!R47*cf</f>
        <v>0</v>
      </c>
      <c r="AI36" s="229"/>
      <c r="AL36" s="273" t="s">
        <v>236</v>
      </c>
      <c r="AM36" s="2"/>
      <c r="AN36" s="2"/>
      <c r="AO36" s="2"/>
      <c r="AP36" s="2"/>
      <c r="AQ36" s="274" t="e">
        <f>AQ35</f>
        <v>#VALUE!</v>
      </c>
      <c r="AR36" s="275" t="e">
        <f>AR35</f>
        <v>#VALUE!</v>
      </c>
      <c r="AS36" s="264"/>
      <c r="AT36" s="264"/>
    </row>
    <row r="37" spans="1:50" x14ac:dyDescent="0.15">
      <c r="A37" s="249">
        <f>'ORDER FORM'!H49</f>
        <v>0</v>
      </c>
      <c r="B37" s="551">
        <f>'ORDER FORM'!I49*cf</f>
        <v>0</v>
      </c>
      <c r="C37" s="552"/>
      <c r="D37" s="300">
        <f>'ORDER FORM'!K49*cf</f>
        <v>0</v>
      </c>
      <c r="E37" s="550">
        <f>'ORDER FORM'!L49</f>
        <v>0</v>
      </c>
      <c r="F37" s="544"/>
      <c r="G37" s="545"/>
      <c r="H37" s="227"/>
      <c r="I37" s="249">
        <f>'ORDER FORM'!H55</f>
        <v>0</v>
      </c>
      <c r="J37" s="300">
        <f>'ORDER FORM'!I55*cf</f>
        <v>0</v>
      </c>
      <c r="K37" s="301">
        <f>'ORDER FORM'!K55*cf</f>
        <v>0</v>
      </c>
      <c r="L37" s="227"/>
      <c r="M37" s="249">
        <f>'ORDER FORM'!O48</f>
        <v>0</v>
      </c>
      <c r="N37" s="300">
        <f>'ORDER FORM'!P48*cf</f>
        <v>0</v>
      </c>
      <c r="O37" s="301">
        <f>'ORDER FORM'!R48*cf</f>
        <v>0</v>
      </c>
      <c r="AI37" s="229"/>
      <c r="AL37" s="273" t="s">
        <v>415</v>
      </c>
      <c r="AM37" s="2"/>
      <c r="AN37" s="2"/>
      <c r="AO37" s="2"/>
      <c r="AP37" s="2"/>
      <c r="AQ37" s="274" t="e">
        <f>IF(AND(c.design.base&gt;1,c.design.base&lt;6),AS32,AQ32)</f>
        <v>#VALUE!</v>
      </c>
      <c r="AR37" s="275" t="e">
        <f>IF(AND(c.design.base&gt;1,c.design.base&lt;6),AT32,AR32)</f>
        <v>#VALUE!</v>
      </c>
    </row>
    <row r="38" spans="1:50" x14ac:dyDescent="0.15">
      <c r="A38" s="249">
        <f>'ORDER FORM'!H50</f>
        <v>0</v>
      </c>
      <c r="B38" s="551">
        <f>'ORDER FORM'!I50*cf</f>
        <v>0</v>
      </c>
      <c r="C38" s="552"/>
      <c r="D38" s="300">
        <f>'ORDER FORM'!K50*cf</f>
        <v>0</v>
      </c>
      <c r="E38" s="550">
        <f>'ORDER FORM'!L50</f>
        <v>0</v>
      </c>
      <c r="F38" s="544"/>
      <c r="G38" s="545"/>
      <c r="H38" s="227"/>
      <c r="I38" s="249">
        <f>'ORDER FORM'!H56</f>
        <v>0</v>
      </c>
      <c r="J38" s="300">
        <f>'ORDER FORM'!I56*cf</f>
        <v>0</v>
      </c>
      <c r="K38" s="301">
        <f>'ORDER FORM'!K56*cf</f>
        <v>0</v>
      </c>
      <c r="L38" s="227"/>
      <c r="M38" s="249">
        <f>'ORDER FORM'!O49</f>
        <v>0</v>
      </c>
      <c r="N38" s="300">
        <f>'ORDER FORM'!P49*cf</f>
        <v>0</v>
      </c>
      <c r="O38" s="301">
        <f>'ORDER FORM'!R49*cf</f>
        <v>0</v>
      </c>
      <c r="AI38" s="229"/>
      <c r="AL38" s="273" t="s">
        <v>416</v>
      </c>
      <c r="AM38" s="2"/>
      <c r="AN38" s="2"/>
      <c r="AO38" s="2"/>
      <c r="AP38" s="2"/>
      <c r="AQ38" s="274" t="e">
        <f>IF(c.rail&lt;7,AQ32,IF(c.pp.opt.c=2,AW32,AQ32))</f>
        <v>#VALUE!</v>
      </c>
      <c r="AR38" s="275" t="e">
        <f>IF(c.rail&lt;10,AR32,IF(c.pp.opt.c=7,AX32,AR32))</f>
        <v>#VALUE!</v>
      </c>
    </row>
    <row r="39" spans="1:50" ht="14" thickBot="1" x14ac:dyDescent="0.2">
      <c r="A39" s="227"/>
      <c r="B39" s="227"/>
      <c r="C39" s="227"/>
      <c r="D39" s="227"/>
      <c r="E39" s="227"/>
      <c r="F39" s="227"/>
      <c r="G39" s="227"/>
      <c r="H39" s="227"/>
      <c r="I39" s="249">
        <f>'ORDER FORM'!H57</f>
        <v>0</v>
      </c>
      <c r="J39" s="300">
        <f>'ORDER FORM'!I57*cf</f>
        <v>0</v>
      </c>
      <c r="K39" s="301">
        <f>'ORDER FORM'!K57*cf</f>
        <v>0</v>
      </c>
      <c r="L39" s="227"/>
      <c r="M39" s="249">
        <f>'ORDER FORM'!O50</f>
        <v>0</v>
      </c>
      <c r="N39" s="300">
        <f>'ORDER FORM'!P50*cf</f>
        <v>0</v>
      </c>
      <c r="O39" s="301">
        <f>'ORDER FORM'!R50*cf</f>
        <v>0</v>
      </c>
      <c r="AI39" s="229"/>
      <c r="AL39" s="276" t="s">
        <v>250</v>
      </c>
      <c r="AM39" s="277"/>
      <c r="AN39" s="277"/>
      <c r="AO39" s="277"/>
      <c r="AP39" s="277"/>
      <c r="AQ39" s="278" t="e">
        <f>IF(c.rail&lt;7,AU32,IF(c.df.opt.c=2,AW32,AU32))</f>
        <v>#VALUE!</v>
      </c>
      <c r="AR39" s="279" t="e">
        <f>IF(c.rail&lt;7,AV32,IF(c.df.opt.c=2,AX32,AV32))</f>
        <v>#VALUE!</v>
      </c>
    </row>
    <row r="40" spans="1:50" x14ac:dyDescent="0.15">
      <c r="A40" s="511" t="s">
        <v>218</v>
      </c>
      <c r="B40" s="537"/>
      <c r="C40" s="537"/>
      <c r="D40" s="280" t="s">
        <v>219</v>
      </c>
      <c r="E40" s="559"/>
      <c r="F40" s="559"/>
      <c r="G40" s="560"/>
      <c r="H40" s="227"/>
      <c r="I40" s="249">
        <f>'ORDER FORM'!H58</f>
        <v>0</v>
      </c>
      <c r="J40" s="300">
        <f>'ORDER FORM'!I58*cf</f>
        <v>0</v>
      </c>
      <c r="K40" s="301">
        <f>'ORDER FORM'!K58*cf</f>
        <v>0</v>
      </c>
      <c r="L40" s="227"/>
      <c r="M40" s="249">
        <f>'ORDER FORM'!O51</f>
        <v>0</v>
      </c>
      <c r="N40" s="300">
        <f>'ORDER FORM'!P51*cf</f>
        <v>0</v>
      </c>
      <c r="O40" s="301">
        <f>'ORDER FORM'!R51*cf</f>
        <v>0</v>
      </c>
    </row>
    <row r="41" spans="1:50" x14ac:dyDescent="0.15">
      <c r="A41" s="302" t="s">
        <v>220</v>
      </c>
      <c r="B41" s="547" t="s">
        <v>111</v>
      </c>
      <c r="C41" s="548"/>
      <c r="D41" s="548"/>
      <c r="E41" s="548"/>
      <c r="F41" s="548"/>
      <c r="G41" s="549"/>
      <c r="H41" s="227"/>
      <c r="I41" s="249">
        <f>'ORDER FORM'!H59</f>
        <v>0</v>
      </c>
      <c r="J41" s="300">
        <f>'ORDER FORM'!I59*cf</f>
        <v>0</v>
      </c>
      <c r="K41" s="301">
        <f>'ORDER FORM'!K59*cf</f>
        <v>0</v>
      </c>
      <c r="L41" s="227"/>
      <c r="M41" s="249">
        <f>'ORDER FORM'!O52</f>
        <v>0</v>
      </c>
      <c r="N41" s="300">
        <f>'ORDER FORM'!P52*cf</f>
        <v>0</v>
      </c>
      <c r="O41" s="301">
        <f>'ORDER FORM'!R52*cf</f>
        <v>0</v>
      </c>
      <c r="AI41" s="229"/>
    </row>
    <row r="42" spans="1:50" x14ac:dyDescent="0.15">
      <c r="A42" s="249">
        <f>'ORDER FORM'!B48</f>
        <v>0</v>
      </c>
      <c r="B42" s="530">
        <f>'ORDER FORM'!C48</f>
        <v>0</v>
      </c>
      <c r="C42" s="530"/>
      <c r="D42" s="530"/>
      <c r="E42" s="530"/>
      <c r="F42" s="530"/>
      <c r="G42" s="546"/>
      <c r="H42" s="227"/>
      <c r="L42" s="227"/>
      <c r="M42" s="249">
        <f>'ORDER FORM'!O53</f>
        <v>0</v>
      </c>
      <c r="N42" s="300">
        <f>'ORDER FORM'!P53*cf</f>
        <v>0</v>
      </c>
      <c r="O42" s="301">
        <f>'ORDER FORM'!R53*cf</f>
        <v>0</v>
      </c>
      <c r="AI42" s="229"/>
    </row>
    <row r="43" spans="1:50" x14ac:dyDescent="0.15">
      <c r="A43" s="249">
        <f>'ORDER FORM'!B49</f>
        <v>0</v>
      </c>
      <c r="B43" s="530">
        <f>'ORDER FORM'!C49</f>
        <v>0</v>
      </c>
      <c r="C43" s="530"/>
      <c r="D43" s="530"/>
      <c r="E43" s="530"/>
      <c r="F43" s="530"/>
      <c r="G43" s="546"/>
      <c r="H43" s="227"/>
      <c r="I43" s="227"/>
      <c r="J43" s="227"/>
      <c r="K43" s="227"/>
      <c r="L43" s="227"/>
      <c r="M43" s="249">
        <f>'ORDER FORM'!O54</f>
        <v>0</v>
      </c>
      <c r="N43" s="300">
        <f>'ORDER FORM'!P54*cf</f>
        <v>0</v>
      </c>
      <c r="O43" s="301">
        <f>'ORDER FORM'!R54*cf</f>
        <v>0</v>
      </c>
      <c r="AI43" s="229"/>
    </row>
    <row r="44" spans="1:50" x14ac:dyDescent="0.15">
      <c r="A44" s="249">
        <f>'ORDER FORM'!B50</f>
        <v>0</v>
      </c>
      <c r="B44" s="530">
        <f>'ORDER FORM'!C50</f>
        <v>0</v>
      </c>
      <c r="C44" s="530"/>
      <c r="D44" s="530"/>
      <c r="E44" s="530"/>
      <c r="F44" s="530"/>
      <c r="G44" s="546"/>
      <c r="H44" s="227"/>
      <c r="I44" s="227"/>
      <c r="J44" s="227"/>
      <c r="K44" s="227"/>
      <c r="L44" s="227"/>
      <c r="M44" s="249">
        <f>'ORDER FORM'!O55</f>
        <v>0</v>
      </c>
      <c r="N44" s="300">
        <f>'ORDER FORM'!P55*cf</f>
        <v>0</v>
      </c>
      <c r="O44" s="301">
        <f>'ORDER FORM'!R55*cf</f>
        <v>0</v>
      </c>
      <c r="AI44" s="229"/>
    </row>
    <row r="45" spans="1:50" x14ac:dyDescent="0.15">
      <c r="A45" s="249">
        <f>'ORDER FORM'!B51</f>
        <v>0</v>
      </c>
      <c r="B45" s="530">
        <f>'ORDER FORM'!C51</f>
        <v>0</v>
      </c>
      <c r="C45" s="530"/>
      <c r="D45" s="530"/>
      <c r="E45" s="530"/>
      <c r="F45" s="530"/>
      <c r="G45" s="546"/>
      <c r="H45" s="227"/>
      <c r="I45" s="227"/>
      <c r="J45" s="227"/>
      <c r="K45" s="227"/>
      <c r="L45" s="227"/>
      <c r="M45" s="249">
        <f>'ORDER FORM'!O56</f>
        <v>0</v>
      </c>
      <c r="N45" s="300">
        <f>'ORDER FORM'!P56*cf</f>
        <v>0</v>
      </c>
      <c r="O45" s="301">
        <f>'ORDER FORM'!R56*cf</f>
        <v>0</v>
      </c>
      <c r="AI45" s="229"/>
    </row>
  </sheetData>
  <sheetProtection password="CA8A" sheet="1" objects="1" scenarios="1" selectLockedCells="1"/>
  <mergeCells count="119">
    <mergeCell ref="AG12:AG16"/>
    <mergeCell ref="AG18:AG21"/>
    <mergeCell ref="AG23:AG24"/>
    <mergeCell ref="AG26:AG27"/>
    <mergeCell ref="W6:X6"/>
    <mergeCell ref="AC6:AE6"/>
    <mergeCell ref="Q24:W24"/>
    <mergeCell ref="U25:W25"/>
    <mergeCell ref="AC20:AE20"/>
    <mergeCell ref="AC19:AE19"/>
    <mergeCell ref="AG6:AG10"/>
    <mergeCell ref="S6:T6"/>
    <mergeCell ref="AU32:AU33"/>
    <mergeCell ref="AV32:AV33"/>
    <mergeCell ref="AQ4:AR4"/>
    <mergeCell ref="AS4:AT4"/>
    <mergeCell ref="AU4:AV4"/>
    <mergeCell ref="AS32:AS33"/>
    <mergeCell ref="AR32:AR33"/>
    <mergeCell ref="AQ32:AQ33"/>
    <mergeCell ref="AT32:AT33"/>
    <mergeCell ref="B43:G43"/>
    <mergeCell ref="B44:G44"/>
    <mergeCell ref="B45:G45"/>
    <mergeCell ref="A1:O1"/>
    <mergeCell ref="B41:G41"/>
    <mergeCell ref="B42:G42"/>
    <mergeCell ref="E36:G36"/>
    <mergeCell ref="B37:C37"/>
    <mergeCell ref="B38:C38"/>
    <mergeCell ref="E38:G38"/>
    <mergeCell ref="M33:O33"/>
    <mergeCell ref="A34:G34"/>
    <mergeCell ref="I34:K34"/>
    <mergeCell ref="M34:O34"/>
    <mergeCell ref="A40:C40"/>
    <mergeCell ref="E40:G40"/>
    <mergeCell ref="B35:C35"/>
    <mergeCell ref="E35:G35"/>
    <mergeCell ref="B36:C36"/>
    <mergeCell ref="E37:G37"/>
    <mergeCell ref="A26:B26"/>
    <mergeCell ref="F26:G26"/>
    <mergeCell ref="A27:B27"/>
    <mergeCell ref="F27:G27"/>
    <mergeCell ref="A28:B28"/>
    <mergeCell ref="F28:G28"/>
    <mergeCell ref="J35:K35"/>
    <mergeCell ref="A29:B29"/>
    <mergeCell ref="F29:G29"/>
    <mergeCell ref="A30:B30"/>
    <mergeCell ref="F30:G30"/>
    <mergeCell ref="A31:B31"/>
    <mergeCell ref="F31:G31"/>
    <mergeCell ref="A32:B32"/>
    <mergeCell ref="F32:G32"/>
    <mergeCell ref="A20:B20"/>
    <mergeCell ref="G20:H20"/>
    <mergeCell ref="M20:O20"/>
    <mergeCell ref="A21:B21"/>
    <mergeCell ref="G21:H21"/>
    <mergeCell ref="A22:B22"/>
    <mergeCell ref="G22:H22"/>
    <mergeCell ref="A24:G24"/>
    <mergeCell ref="A25:B25"/>
    <mergeCell ref="C25:D25"/>
    <mergeCell ref="E25:G25"/>
    <mergeCell ref="A16:B16"/>
    <mergeCell ref="G16:H16"/>
    <mergeCell ref="A17:B17"/>
    <mergeCell ref="G17:H17"/>
    <mergeCell ref="A18:B18"/>
    <mergeCell ref="G18:H18"/>
    <mergeCell ref="A19:B19"/>
    <mergeCell ref="G19:H19"/>
    <mergeCell ref="M19:O19"/>
    <mergeCell ref="A11:B11"/>
    <mergeCell ref="G11:H11"/>
    <mergeCell ref="A12:B12"/>
    <mergeCell ref="G12:H12"/>
    <mergeCell ref="A13:B13"/>
    <mergeCell ref="G13:H13"/>
    <mergeCell ref="A14:B14"/>
    <mergeCell ref="G14:H14"/>
    <mergeCell ref="A15:B15"/>
    <mergeCell ref="G15:H15"/>
    <mergeCell ref="A7:B7"/>
    <mergeCell ref="G7:H7"/>
    <mergeCell ref="A8:B8"/>
    <mergeCell ref="G8:H8"/>
    <mergeCell ref="A9:B9"/>
    <mergeCell ref="G9:H9"/>
    <mergeCell ref="A10:B10"/>
    <mergeCell ref="G10:H10"/>
    <mergeCell ref="Q6:R6"/>
    <mergeCell ref="AW4:AX4"/>
    <mergeCell ref="AQ3:AX3"/>
    <mergeCell ref="AI3:AP3"/>
    <mergeCell ref="AW32:AW33"/>
    <mergeCell ref="AX32:AX33"/>
    <mergeCell ref="AL32:AO33"/>
    <mergeCell ref="F3:J3"/>
    <mergeCell ref="A3:D3"/>
    <mergeCell ref="AI1:AP1"/>
    <mergeCell ref="A5:E5"/>
    <mergeCell ref="G5:K5"/>
    <mergeCell ref="M5:O5"/>
    <mergeCell ref="AK4:AL4"/>
    <mergeCell ref="AI4:AJ4"/>
    <mergeCell ref="Q5:U5"/>
    <mergeCell ref="W5:AA5"/>
    <mergeCell ref="AC5:AE5"/>
    <mergeCell ref="AM4:AN4"/>
    <mergeCell ref="AO4:AP4"/>
    <mergeCell ref="A6:B6"/>
    <mergeCell ref="C6:D6"/>
    <mergeCell ref="G6:H6"/>
    <mergeCell ref="I6:J6"/>
    <mergeCell ref="M6:O6"/>
  </mergeCells>
  <phoneticPr fontId="20" type="noConversion"/>
  <dataValidations disablePrompts="1" count="2">
    <dataValidation type="list" allowBlank="1" showInputMessage="1" showErrorMessage="1" sqref="C6:D6 S6:T6">
      <formula1>IF(c.style&lt;3,l.design.ps,IF(c.style=3,l.design.shkr,IF(c.style=4,l.design.shkrV,l.design.mitre)))</formula1>
    </dataValidation>
    <dataValidation type="list" showInputMessage="1" showErrorMessage="1" sqref="I6:J6">
      <formula1>IF(c.style&lt;3,l.design.ps,IF(c.style=3,l.design.shkr,IF(c.style=4,l.design.shkrV,l.design.mitre)))</formula1>
    </dataValidation>
  </dataValidation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pageSetUpPr fitToPage="1"/>
  </sheetPr>
  <dimension ref="B1:Z64"/>
  <sheetViews>
    <sheetView showGridLines="0" showRowColHeaders="0" showRuler="0" view="pageLayout" zoomScale="80" zoomScaleNormal="80" zoomScalePageLayoutView="80" workbookViewId="0">
      <selection activeCell="K56" sqref="K56"/>
    </sheetView>
  </sheetViews>
  <sheetFormatPr baseColWidth="10" defaultColWidth="8.83203125" defaultRowHeight="13" x14ac:dyDescent="0.15"/>
  <cols>
    <col min="1" max="1" width="3.33203125" customWidth="1"/>
    <col min="2" max="3" width="6.6640625" customWidth="1"/>
    <col min="4" max="5" width="9.6640625" customWidth="1"/>
    <col min="6" max="6" width="9.1640625" customWidth="1"/>
    <col min="7" max="7" width="9" customWidth="1"/>
    <col min="8" max="8" width="9.6640625" customWidth="1"/>
    <col min="9" max="9" width="3.1640625" customWidth="1"/>
    <col min="10" max="11" width="6.6640625" customWidth="1"/>
    <col min="12" max="15" width="9" customWidth="1"/>
    <col min="16" max="16" width="6.1640625" customWidth="1"/>
    <col min="17" max="17" width="2.83203125" customWidth="1"/>
    <col min="18" max="18" width="7.1640625" customWidth="1"/>
    <col min="19" max="19" width="6.6640625" customWidth="1"/>
    <col min="20" max="23" width="9" customWidth="1"/>
    <col min="25" max="25" width="6.33203125" customWidth="1"/>
    <col min="26" max="26" width="6.83203125" customWidth="1"/>
  </cols>
  <sheetData>
    <row r="1" spans="2:26" s="304" customFormat="1" x14ac:dyDescent="0.15"/>
    <row r="2" spans="2:26" x14ac:dyDescent="0.15">
      <c r="B2" s="172" t="s">
        <v>431</v>
      </c>
      <c r="C2" s="584">
        <f>'ORDER FORM'!E4</f>
        <v>0</v>
      </c>
      <c r="D2" s="584"/>
    </row>
    <row r="3" spans="2:26" ht="7" customHeight="1" x14ac:dyDescent="0.15">
      <c r="B3" s="21"/>
      <c r="D3" s="150"/>
      <c r="E3" s="150"/>
    </row>
    <row r="4" spans="2:26" x14ac:dyDescent="0.15">
      <c r="B4" s="21" t="s">
        <v>344</v>
      </c>
      <c r="D4" s="582" t="str">
        <f>'ORDER FORM'!D7</f>
        <v>Cabinetmart Inc</v>
      </c>
      <c r="E4" s="583"/>
      <c r="F4" s="583"/>
      <c r="G4" s="583"/>
      <c r="H4" s="3"/>
      <c r="I4" s="3"/>
    </row>
    <row r="5" spans="2:26" ht="15" customHeight="1" x14ac:dyDescent="0.15">
      <c r="B5" s="4" t="s">
        <v>346</v>
      </c>
      <c r="D5" s="575">
        <f>'ORDER FORM'!D8</f>
        <v>0</v>
      </c>
      <c r="E5" s="575"/>
      <c r="F5" s="575"/>
      <c r="G5" s="575"/>
      <c r="H5" s="6"/>
      <c r="I5" s="6"/>
    </row>
    <row r="6" spans="2:26" ht="15" customHeight="1" x14ac:dyDescent="0.15">
      <c r="B6" s="4" t="s">
        <v>160</v>
      </c>
      <c r="D6" s="575">
        <f>'ORDER FORM'!D10</f>
        <v>0</v>
      </c>
      <c r="E6" s="575"/>
      <c r="F6" s="575"/>
      <c r="G6" s="575"/>
      <c r="H6" s="6"/>
      <c r="I6" s="6"/>
    </row>
    <row r="7" spans="2:26" ht="15" customHeight="1" x14ac:dyDescent="0.15">
      <c r="B7" s="4" t="s">
        <v>357</v>
      </c>
      <c r="D7" s="575">
        <f>'ORDER FORM'!D11</f>
        <v>0</v>
      </c>
      <c r="E7" s="575"/>
      <c r="F7" s="575"/>
      <c r="G7" s="575"/>
      <c r="H7" s="6"/>
      <c r="I7" s="6"/>
    </row>
    <row r="8" spans="2:26" ht="15" customHeight="1" x14ac:dyDescent="0.15">
      <c r="B8" s="4" t="s">
        <v>627</v>
      </c>
      <c r="D8" s="575" t="str">
        <f>'ORDER FORM'!D12</f>
        <v>Standard sanding</v>
      </c>
      <c r="E8" s="575"/>
      <c r="F8" s="575"/>
      <c r="G8" s="575"/>
      <c r="H8" s="6"/>
      <c r="I8" s="6"/>
    </row>
    <row r="9" spans="2:26" ht="15" customHeight="1" x14ac:dyDescent="0.15">
      <c r="B9" s="4" t="s">
        <v>628</v>
      </c>
      <c r="D9" s="576" t="str">
        <f>'ORDER FORM'!D13</f>
        <v>Unfinished</v>
      </c>
      <c r="E9" s="576"/>
      <c r="F9" s="576"/>
      <c r="G9" s="576"/>
      <c r="H9" s="6"/>
      <c r="I9" s="6"/>
    </row>
    <row r="10" spans="2:26" ht="15" customHeight="1" x14ac:dyDescent="0.15">
      <c r="B10" s="178" t="s">
        <v>435</v>
      </c>
      <c r="D10" s="576">
        <f>'ORDER FORM'!Q10</f>
        <v>0</v>
      </c>
      <c r="E10" s="576"/>
      <c r="F10" s="576"/>
      <c r="G10" s="576"/>
    </row>
    <row r="11" spans="2:26" ht="18" customHeight="1" x14ac:dyDescent="0.15"/>
    <row r="12" spans="2:26" x14ac:dyDescent="0.15">
      <c r="B12" s="103" t="s">
        <v>341</v>
      </c>
      <c r="D12">
        <f>'ORDER FORM'!D16</f>
        <v>0</v>
      </c>
      <c r="J12" s="103" t="s">
        <v>342</v>
      </c>
      <c r="L12">
        <f>'ORDER FORM'!J16</f>
        <v>0</v>
      </c>
      <c r="R12" s="103" t="s">
        <v>543</v>
      </c>
      <c r="U12">
        <f>D12</f>
        <v>0</v>
      </c>
    </row>
    <row r="13" spans="2:26" ht="31" customHeight="1" x14ac:dyDescent="0.15">
      <c r="B13" s="17" t="s">
        <v>519</v>
      </c>
      <c r="C13" s="17" t="s">
        <v>520</v>
      </c>
      <c r="D13" s="17" t="s">
        <v>161</v>
      </c>
      <c r="E13" s="17" t="s">
        <v>162</v>
      </c>
      <c r="F13" s="17" t="s">
        <v>521</v>
      </c>
      <c r="G13" s="17" t="s">
        <v>522</v>
      </c>
      <c r="H13" s="17"/>
      <c r="J13" s="17" t="s">
        <v>519</v>
      </c>
      <c r="K13" s="17" t="s">
        <v>520</v>
      </c>
      <c r="L13" s="17" t="s">
        <v>161</v>
      </c>
      <c r="M13" s="17" t="s">
        <v>162</v>
      </c>
      <c r="N13" s="17" t="s">
        <v>521</v>
      </c>
      <c r="O13" s="17" t="s">
        <v>522</v>
      </c>
      <c r="P13" s="17"/>
      <c r="R13" s="17" t="s">
        <v>519</v>
      </c>
      <c r="S13" s="17" t="s">
        <v>520</v>
      </c>
      <c r="T13" s="17" t="s">
        <v>161</v>
      </c>
      <c r="U13" s="17" t="s">
        <v>162</v>
      </c>
      <c r="V13" s="17" t="s">
        <v>521</v>
      </c>
      <c r="W13" s="17" t="s">
        <v>522</v>
      </c>
      <c r="X13" s="17" t="s">
        <v>201</v>
      </c>
      <c r="Y13" s="17" t="s">
        <v>452</v>
      </c>
      <c r="Z13" s="17" t="s">
        <v>626</v>
      </c>
    </row>
    <row r="14" spans="2:26" x14ac:dyDescent="0.15">
      <c r="B14" s="5">
        <v>1</v>
      </c>
      <c r="C14" s="95">
        <f>'ORDER FORM'!D19</f>
        <v>0</v>
      </c>
      <c r="D14" s="192">
        <f>'ORDER FORM'!E19*cfi</f>
        <v>0</v>
      </c>
      <c r="E14" s="192">
        <f>'ORDER FORM'!F19*cfi</f>
        <v>0</v>
      </c>
      <c r="F14" s="7">
        <f>IF(C14=0,0,IF(D14*E14/144&lt;1.5,1.5,D14*E14/144))</f>
        <v>0</v>
      </c>
      <c r="G14" s="19">
        <f>F14*C14</f>
        <v>0</v>
      </c>
      <c r="H14" s="19"/>
      <c r="J14" s="5">
        <v>1</v>
      </c>
      <c r="K14" s="95">
        <f>'ORDER FORM'!J19</f>
        <v>0</v>
      </c>
      <c r="L14" s="192">
        <f>'ORDER FORM'!K19*cfi</f>
        <v>0</v>
      </c>
      <c r="M14" s="192">
        <f>'ORDER FORM'!L19*cfi</f>
        <v>0</v>
      </c>
      <c r="N14" s="7">
        <f>IF(K14=0,0,IF(L14*M14/144&lt;1.5,1.5,L14*M14/144))</f>
        <v>0</v>
      </c>
      <c r="O14" s="19">
        <f>N14*K14</f>
        <v>0</v>
      </c>
      <c r="P14" s="99"/>
      <c r="R14" s="5">
        <v>1</v>
      </c>
      <c r="S14" s="95">
        <f>'ORDER FORM'!D39</f>
        <v>0</v>
      </c>
      <c r="T14" s="192">
        <f>'ORDER FORM'!E39*cfi</f>
        <v>0</v>
      </c>
      <c r="U14" s="192">
        <f>'ORDER FORM'!F39*cfi</f>
        <v>0</v>
      </c>
      <c r="V14" s="7">
        <f t="shared" ref="V14:V19" si="0">IF(S14=0,0,IF(T14*U14/144&lt;1.5,1.5,T14*U14/144))</f>
        <v>0</v>
      </c>
      <c r="W14" s="19">
        <f t="shared" ref="W14:W19" si="1">V14*S14</f>
        <v>0</v>
      </c>
      <c r="X14">
        <f>'ORDER FORM'!G39</f>
        <v>0</v>
      </c>
      <c r="Y14">
        <f>IF(S14=0,0,VLOOKUP('ORDER FORM'!G39,t.lites,3,FALSE)*S14)</f>
        <v>0</v>
      </c>
      <c r="Z14">
        <f t="shared" ref="Z14:Z19" si="2">IF(Y14=0,S14,0)</f>
        <v>0</v>
      </c>
    </row>
    <row r="15" spans="2:26" x14ac:dyDescent="0.15">
      <c r="B15" s="5">
        <v>2</v>
      </c>
      <c r="C15" s="95">
        <f>'ORDER FORM'!D20</f>
        <v>0</v>
      </c>
      <c r="D15" s="192">
        <f>'ORDER FORM'!E20*cfi</f>
        <v>0</v>
      </c>
      <c r="E15" s="192">
        <f>'ORDER FORM'!F20*cfi</f>
        <v>0</v>
      </c>
      <c r="F15" s="7">
        <f t="shared" ref="F15:F28" si="3">IF(C15=0,0,IF(D15*E15/144&lt;1.5,1.5,D15*E15/144))</f>
        <v>0</v>
      </c>
      <c r="G15" s="19">
        <f t="shared" ref="G15:G28" si="4">F15*C15</f>
        <v>0</v>
      </c>
      <c r="H15" s="19"/>
      <c r="J15" s="5">
        <v>2</v>
      </c>
      <c r="K15" s="95">
        <f>'ORDER FORM'!J20</f>
        <v>0</v>
      </c>
      <c r="L15" s="192">
        <f>'ORDER FORM'!K20*cfi</f>
        <v>0</v>
      </c>
      <c r="M15" s="192">
        <f>'ORDER FORM'!L20*cfi</f>
        <v>0</v>
      </c>
      <c r="N15" s="7">
        <f t="shared" ref="N15:N28" si="5">IF(K15=0,0,IF(L15*M15/144&lt;1.5,1.5,L15*M15/144))</f>
        <v>0</v>
      </c>
      <c r="O15" s="19">
        <f t="shared" ref="O15:O28" si="6">N15*K15</f>
        <v>0</v>
      </c>
      <c r="P15" s="99"/>
      <c r="R15" s="5">
        <v>2</v>
      </c>
      <c r="S15" s="95">
        <f>'ORDER FORM'!D40</f>
        <v>0</v>
      </c>
      <c r="T15" s="192">
        <f>'ORDER FORM'!E40*cfi</f>
        <v>0</v>
      </c>
      <c r="U15" s="192">
        <f>'ORDER FORM'!F40*cfi</f>
        <v>0</v>
      </c>
      <c r="V15" s="7">
        <f t="shared" si="0"/>
        <v>0</v>
      </c>
      <c r="W15" s="19">
        <f t="shared" si="1"/>
        <v>0</v>
      </c>
      <c r="X15">
        <f>'ORDER FORM'!G40</f>
        <v>0</v>
      </c>
      <c r="Y15">
        <f>IF(S15=0,0,VLOOKUP('ORDER FORM'!G40,t.lites,3,FALSE)*S15)</f>
        <v>0</v>
      </c>
      <c r="Z15">
        <f t="shared" si="2"/>
        <v>0</v>
      </c>
    </row>
    <row r="16" spans="2:26" x14ac:dyDescent="0.15">
      <c r="B16" s="5">
        <v>3</v>
      </c>
      <c r="C16" s="95">
        <f>'ORDER FORM'!D21</f>
        <v>0</v>
      </c>
      <c r="D16" s="192">
        <f>'ORDER FORM'!E21*cfi</f>
        <v>0</v>
      </c>
      <c r="E16" s="192">
        <f>'ORDER FORM'!F21*cfi</f>
        <v>0</v>
      </c>
      <c r="F16" s="7">
        <f t="shared" si="3"/>
        <v>0</v>
      </c>
      <c r="G16" s="19">
        <f t="shared" si="4"/>
        <v>0</v>
      </c>
      <c r="H16" s="19"/>
      <c r="J16" s="5">
        <v>3</v>
      </c>
      <c r="K16" s="95">
        <f>'ORDER FORM'!J21</f>
        <v>0</v>
      </c>
      <c r="L16" s="192">
        <f>'ORDER FORM'!K21*cfi</f>
        <v>0</v>
      </c>
      <c r="M16" s="192">
        <f>'ORDER FORM'!L21*cfi</f>
        <v>0</v>
      </c>
      <c r="N16" s="7">
        <f t="shared" si="5"/>
        <v>0</v>
      </c>
      <c r="O16" s="19">
        <f t="shared" si="6"/>
        <v>0</v>
      </c>
      <c r="P16" s="99"/>
      <c r="R16" s="5">
        <v>3</v>
      </c>
      <c r="S16" s="95">
        <f>'ORDER FORM'!D41</f>
        <v>0</v>
      </c>
      <c r="T16" s="192">
        <f>'ORDER FORM'!E41*cfi</f>
        <v>0</v>
      </c>
      <c r="U16" s="192">
        <f>'ORDER FORM'!F41*cfi</f>
        <v>0</v>
      </c>
      <c r="V16" s="7">
        <f t="shared" si="0"/>
        <v>0</v>
      </c>
      <c r="W16" s="19">
        <f t="shared" si="1"/>
        <v>0</v>
      </c>
      <c r="X16">
        <f>'ORDER FORM'!G41</f>
        <v>0</v>
      </c>
      <c r="Y16">
        <f>IF(S16=0,0,VLOOKUP('ORDER FORM'!G41,t.lites,3,FALSE)*S16)</f>
        <v>0</v>
      </c>
      <c r="Z16">
        <f t="shared" si="2"/>
        <v>0</v>
      </c>
    </row>
    <row r="17" spans="2:26" x14ac:dyDescent="0.15">
      <c r="B17" s="5">
        <v>4</v>
      </c>
      <c r="C17" s="95">
        <f>'ORDER FORM'!D22</f>
        <v>0</v>
      </c>
      <c r="D17" s="192">
        <f>'ORDER FORM'!E22*cfi</f>
        <v>0</v>
      </c>
      <c r="E17" s="192">
        <f>'ORDER FORM'!F22*cfi</f>
        <v>0</v>
      </c>
      <c r="F17" s="7">
        <f t="shared" si="3"/>
        <v>0</v>
      </c>
      <c r="G17" s="19">
        <f t="shared" si="4"/>
        <v>0</v>
      </c>
      <c r="H17" s="19"/>
      <c r="J17" s="5">
        <v>4</v>
      </c>
      <c r="K17" s="95">
        <f>'ORDER FORM'!J22</f>
        <v>0</v>
      </c>
      <c r="L17" s="192">
        <f>'ORDER FORM'!K22*cfi</f>
        <v>0</v>
      </c>
      <c r="M17" s="192">
        <f>'ORDER FORM'!L22*cfi</f>
        <v>0</v>
      </c>
      <c r="N17" s="7">
        <f t="shared" si="5"/>
        <v>0</v>
      </c>
      <c r="O17" s="19">
        <f t="shared" si="6"/>
        <v>0</v>
      </c>
      <c r="P17" s="99"/>
      <c r="R17" s="5">
        <v>4</v>
      </c>
      <c r="S17" s="95">
        <f>'ORDER FORM'!D42</f>
        <v>0</v>
      </c>
      <c r="T17" s="192">
        <f>'ORDER FORM'!E42*cfi</f>
        <v>0</v>
      </c>
      <c r="U17" s="192">
        <f>'ORDER FORM'!F42*cfi</f>
        <v>0</v>
      </c>
      <c r="V17" s="7">
        <f t="shared" si="0"/>
        <v>0</v>
      </c>
      <c r="W17" s="19">
        <f t="shared" si="1"/>
        <v>0</v>
      </c>
      <c r="X17">
        <f>'ORDER FORM'!G42</f>
        <v>0</v>
      </c>
      <c r="Y17">
        <f>IF(S17=0,0,VLOOKUP('ORDER FORM'!G42,t.lites,3,FALSE)*S17)</f>
        <v>0</v>
      </c>
      <c r="Z17">
        <f t="shared" si="2"/>
        <v>0</v>
      </c>
    </row>
    <row r="18" spans="2:26" x14ac:dyDescent="0.15">
      <c r="B18" s="5">
        <v>5</v>
      </c>
      <c r="C18" s="95">
        <f>'ORDER FORM'!D23</f>
        <v>0</v>
      </c>
      <c r="D18" s="192">
        <f>'ORDER FORM'!E23*cfi</f>
        <v>0</v>
      </c>
      <c r="E18" s="192">
        <f>'ORDER FORM'!F23*cfi</f>
        <v>0</v>
      </c>
      <c r="F18" s="7">
        <f t="shared" si="3"/>
        <v>0</v>
      </c>
      <c r="G18" s="19">
        <f t="shared" si="4"/>
        <v>0</v>
      </c>
      <c r="H18" s="19"/>
      <c r="J18" s="5">
        <v>5</v>
      </c>
      <c r="K18" s="95">
        <f>'ORDER FORM'!J23</f>
        <v>0</v>
      </c>
      <c r="L18" s="192">
        <f>'ORDER FORM'!K23*cfi</f>
        <v>0</v>
      </c>
      <c r="M18" s="192">
        <f>'ORDER FORM'!L23*cfi</f>
        <v>0</v>
      </c>
      <c r="N18" s="7">
        <f t="shared" si="5"/>
        <v>0</v>
      </c>
      <c r="O18" s="19">
        <f t="shared" si="6"/>
        <v>0</v>
      </c>
      <c r="P18" s="99"/>
      <c r="R18" s="5">
        <v>5</v>
      </c>
      <c r="S18" s="95">
        <f>'ORDER FORM'!D43</f>
        <v>0</v>
      </c>
      <c r="T18" s="192">
        <f>'ORDER FORM'!E43*cfi</f>
        <v>0</v>
      </c>
      <c r="U18" s="192">
        <f>'ORDER FORM'!F43*cfi</f>
        <v>0</v>
      </c>
      <c r="V18" s="7">
        <f t="shared" si="0"/>
        <v>0</v>
      </c>
      <c r="W18" s="19">
        <f t="shared" si="1"/>
        <v>0</v>
      </c>
      <c r="X18">
        <f>'ORDER FORM'!G43</f>
        <v>0</v>
      </c>
      <c r="Y18">
        <f>IF(S18=0,0,VLOOKUP('ORDER FORM'!G43,t.lites,3,FALSE)*S18)</f>
        <v>0</v>
      </c>
      <c r="Z18">
        <f t="shared" si="2"/>
        <v>0</v>
      </c>
    </row>
    <row r="19" spans="2:26" x14ac:dyDescent="0.15">
      <c r="B19" s="5">
        <v>6</v>
      </c>
      <c r="C19" s="95">
        <f>'ORDER FORM'!D24</f>
        <v>0</v>
      </c>
      <c r="D19" s="192">
        <f>'ORDER FORM'!E24*cfi</f>
        <v>0</v>
      </c>
      <c r="E19" s="192">
        <f>'ORDER FORM'!F24*cfi</f>
        <v>0</v>
      </c>
      <c r="F19" s="7">
        <f t="shared" si="3"/>
        <v>0</v>
      </c>
      <c r="G19" s="19">
        <f t="shared" si="4"/>
        <v>0</v>
      </c>
      <c r="H19" s="19"/>
      <c r="J19" s="5">
        <v>6</v>
      </c>
      <c r="K19" s="95">
        <f>'ORDER FORM'!J24</f>
        <v>0</v>
      </c>
      <c r="L19" s="192">
        <f>'ORDER FORM'!K24*cfi</f>
        <v>0</v>
      </c>
      <c r="M19" s="192">
        <f>'ORDER FORM'!L24*cfi</f>
        <v>0</v>
      </c>
      <c r="N19" s="7">
        <f t="shared" si="5"/>
        <v>0</v>
      </c>
      <c r="O19" s="19">
        <f t="shared" si="6"/>
        <v>0</v>
      </c>
      <c r="P19" s="99"/>
      <c r="R19" s="5">
        <v>6</v>
      </c>
      <c r="S19" s="95">
        <f>'ORDER FORM'!D44</f>
        <v>0</v>
      </c>
      <c r="T19" s="192">
        <f>'ORDER FORM'!E44*cfi</f>
        <v>0</v>
      </c>
      <c r="U19" s="192">
        <f>'ORDER FORM'!F44*cfi</f>
        <v>0</v>
      </c>
      <c r="V19" s="7">
        <f t="shared" si="0"/>
        <v>0</v>
      </c>
      <c r="W19" s="19">
        <f t="shared" si="1"/>
        <v>0</v>
      </c>
      <c r="X19">
        <f>'ORDER FORM'!G44</f>
        <v>0</v>
      </c>
      <c r="Y19">
        <f>IF(S19=0,0,VLOOKUP('ORDER FORM'!G44,t.lites,3,FALSE)*S19)</f>
        <v>0</v>
      </c>
      <c r="Z19">
        <f t="shared" si="2"/>
        <v>0</v>
      </c>
    </row>
    <row r="20" spans="2:26" x14ac:dyDescent="0.15">
      <c r="B20" s="5">
        <v>7</v>
      </c>
      <c r="C20" s="95">
        <f>'ORDER FORM'!D25</f>
        <v>0</v>
      </c>
      <c r="D20" s="192">
        <f>'ORDER FORM'!E25*cfi</f>
        <v>0</v>
      </c>
      <c r="E20" s="192">
        <f>'ORDER FORM'!F25*cfi</f>
        <v>0</v>
      </c>
      <c r="F20" s="7">
        <f t="shared" si="3"/>
        <v>0</v>
      </c>
      <c r="G20" s="19">
        <f t="shared" si="4"/>
        <v>0</v>
      </c>
      <c r="H20" s="19"/>
      <c r="J20" s="5">
        <v>7</v>
      </c>
      <c r="K20" s="95">
        <f>'ORDER FORM'!J25</f>
        <v>0</v>
      </c>
      <c r="L20" s="192">
        <f>'ORDER FORM'!K25*cfi</f>
        <v>0</v>
      </c>
      <c r="M20" s="192">
        <f>'ORDER FORM'!L25*cfi</f>
        <v>0</v>
      </c>
      <c r="N20" s="7">
        <f t="shared" si="5"/>
        <v>0</v>
      </c>
      <c r="O20" s="19">
        <f t="shared" si="6"/>
        <v>0</v>
      </c>
      <c r="P20" s="99"/>
      <c r="S20" s="95">
        <f>SUM(S14:S19)</f>
        <v>0</v>
      </c>
      <c r="V20" s="20" t="s">
        <v>281</v>
      </c>
      <c r="W20" s="100">
        <f>SUM(W14:W19)</f>
        <v>0</v>
      </c>
      <c r="Y20" s="21">
        <f>SUM(Y14:Y19)</f>
        <v>0</v>
      </c>
      <c r="Z20" s="21">
        <f>SUM(Z14:Z19)</f>
        <v>0</v>
      </c>
    </row>
    <row r="21" spans="2:26" x14ac:dyDescent="0.15">
      <c r="B21" s="5">
        <v>8</v>
      </c>
      <c r="C21" s="95">
        <f>'ORDER FORM'!D26</f>
        <v>0</v>
      </c>
      <c r="D21" s="192">
        <f>'ORDER FORM'!E26*cfi</f>
        <v>0</v>
      </c>
      <c r="E21" s="192">
        <f>'ORDER FORM'!F26*cfi</f>
        <v>0</v>
      </c>
      <c r="F21" s="7">
        <f t="shared" si="3"/>
        <v>0</v>
      </c>
      <c r="G21" s="19">
        <f t="shared" si="4"/>
        <v>0</v>
      </c>
      <c r="H21" s="19"/>
      <c r="J21" s="5">
        <v>8</v>
      </c>
      <c r="K21" s="95">
        <f>'ORDER FORM'!J26</f>
        <v>0</v>
      </c>
      <c r="L21" s="192">
        <f>'ORDER FORM'!K26*cfi</f>
        <v>0</v>
      </c>
      <c r="M21" s="192">
        <f>'ORDER FORM'!L26*cfi</f>
        <v>0</v>
      </c>
      <c r="N21" s="7">
        <f t="shared" si="5"/>
        <v>0</v>
      </c>
      <c r="O21" s="19">
        <f t="shared" si="6"/>
        <v>0</v>
      </c>
      <c r="P21" s="99"/>
    </row>
    <row r="22" spans="2:26" x14ac:dyDescent="0.15">
      <c r="B22" s="5">
        <v>9</v>
      </c>
      <c r="C22" s="95">
        <f>'ORDER FORM'!D27</f>
        <v>0</v>
      </c>
      <c r="D22" s="192">
        <f>'ORDER FORM'!E27*cfi</f>
        <v>0</v>
      </c>
      <c r="E22" s="192">
        <f>'ORDER FORM'!F27*cfi</f>
        <v>0</v>
      </c>
      <c r="F22" s="7">
        <f t="shared" si="3"/>
        <v>0</v>
      </c>
      <c r="G22" s="19">
        <f t="shared" si="4"/>
        <v>0</v>
      </c>
      <c r="H22" s="19"/>
      <c r="J22" s="5">
        <v>9</v>
      </c>
      <c r="K22" s="95">
        <f>'ORDER FORM'!J27</f>
        <v>0</v>
      </c>
      <c r="L22" s="192">
        <f>'ORDER FORM'!K27*cfi</f>
        <v>0</v>
      </c>
      <c r="M22" s="192">
        <f>'ORDER FORM'!L27*cfi</f>
        <v>0</v>
      </c>
      <c r="N22" s="7">
        <f t="shared" si="5"/>
        <v>0</v>
      </c>
      <c r="O22" s="19">
        <f t="shared" si="6"/>
        <v>0</v>
      </c>
      <c r="P22" s="99"/>
    </row>
    <row r="23" spans="2:26" x14ac:dyDescent="0.15">
      <c r="B23" s="5">
        <v>10</v>
      </c>
      <c r="C23" s="95">
        <f>'ORDER FORM'!D28</f>
        <v>0</v>
      </c>
      <c r="D23" s="192">
        <f>'ORDER FORM'!E28*cfi</f>
        <v>0</v>
      </c>
      <c r="E23" s="192">
        <f>'ORDER FORM'!F28*cfi</f>
        <v>0</v>
      </c>
      <c r="F23" s="7">
        <f t="shared" si="3"/>
        <v>0</v>
      </c>
      <c r="G23" s="19">
        <f t="shared" si="4"/>
        <v>0</v>
      </c>
      <c r="H23" s="19"/>
      <c r="J23" s="5">
        <v>10</v>
      </c>
      <c r="K23" s="95">
        <f>'ORDER FORM'!J28</f>
        <v>0</v>
      </c>
      <c r="L23" s="192">
        <f>'ORDER FORM'!K28*cfi</f>
        <v>0</v>
      </c>
      <c r="M23" s="192">
        <f>'ORDER FORM'!L28*cfi</f>
        <v>0</v>
      </c>
      <c r="N23" s="7">
        <f t="shared" si="5"/>
        <v>0</v>
      </c>
      <c r="O23" s="19">
        <f t="shared" si="6"/>
        <v>0</v>
      </c>
      <c r="P23" s="99"/>
    </row>
    <row r="24" spans="2:26" x14ac:dyDescent="0.15">
      <c r="B24" s="5">
        <v>11</v>
      </c>
      <c r="C24" s="95">
        <f>'ORDER FORM'!D29</f>
        <v>0</v>
      </c>
      <c r="D24" s="192">
        <f>'ORDER FORM'!E29*cfi</f>
        <v>0</v>
      </c>
      <c r="E24" s="192">
        <f>'ORDER FORM'!F29*cfi</f>
        <v>0</v>
      </c>
      <c r="F24" s="7">
        <f t="shared" si="3"/>
        <v>0</v>
      </c>
      <c r="G24" s="19">
        <f t="shared" si="4"/>
        <v>0</v>
      </c>
      <c r="H24" s="19"/>
      <c r="J24" s="5">
        <v>11</v>
      </c>
      <c r="K24" s="95">
        <f>'ORDER FORM'!J29</f>
        <v>0</v>
      </c>
      <c r="L24" s="192">
        <f>'ORDER FORM'!K29*cfi</f>
        <v>0</v>
      </c>
      <c r="M24" s="192">
        <f>'ORDER FORM'!L29*cfi</f>
        <v>0</v>
      </c>
      <c r="N24" s="7">
        <f t="shared" si="5"/>
        <v>0</v>
      </c>
      <c r="O24" s="19">
        <f t="shared" si="6"/>
        <v>0</v>
      </c>
      <c r="P24" s="99"/>
    </row>
    <row r="25" spans="2:26" x14ac:dyDescent="0.15">
      <c r="B25" s="5">
        <v>12</v>
      </c>
      <c r="C25" s="95">
        <f>'ORDER FORM'!D30</f>
        <v>0</v>
      </c>
      <c r="D25" s="192">
        <f>'ORDER FORM'!E30*cfi</f>
        <v>0</v>
      </c>
      <c r="E25" s="192">
        <f>'ORDER FORM'!F30*cfi</f>
        <v>0</v>
      </c>
      <c r="F25" s="7">
        <f t="shared" si="3"/>
        <v>0</v>
      </c>
      <c r="G25" s="19">
        <f t="shared" si="4"/>
        <v>0</v>
      </c>
      <c r="H25" s="19"/>
      <c r="J25" s="5">
        <v>12</v>
      </c>
      <c r="K25" s="95">
        <f>'ORDER FORM'!J30</f>
        <v>0</v>
      </c>
      <c r="L25" s="192">
        <f>'ORDER FORM'!K30*cfi</f>
        <v>0</v>
      </c>
      <c r="M25" s="192">
        <f>'ORDER FORM'!L30*cfi</f>
        <v>0</v>
      </c>
      <c r="N25" s="7">
        <f t="shared" si="5"/>
        <v>0</v>
      </c>
      <c r="O25" s="19">
        <f t="shared" si="6"/>
        <v>0</v>
      </c>
      <c r="P25" s="99"/>
    </row>
    <row r="26" spans="2:26" x14ac:dyDescent="0.15">
      <c r="B26" s="5">
        <v>13</v>
      </c>
      <c r="C26" s="95">
        <f>'ORDER FORM'!D31</f>
        <v>0</v>
      </c>
      <c r="D26" s="192">
        <f>'ORDER FORM'!E31*cfi</f>
        <v>0</v>
      </c>
      <c r="E26" s="192">
        <f>'ORDER FORM'!F31*cfi</f>
        <v>0</v>
      </c>
      <c r="F26" s="7">
        <f t="shared" si="3"/>
        <v>0</v>
      </c>
      <c r="G26" s="19">
        <f t="shared" si="4"/>
        <v>0</v>
      </c>
      <c r="H26" s="19"/>
      <c r="J26" s="5">
        <v>13</v>
      </c>
      <c r="K26" s="95">
        <f>'ORDER FORM'!J31</f>
        <v>0</v>
      </c>
      <c r="L26" s="192">
        <f>'ORDER FORM'!K31*cfi</f>
        <v>0</v>
      </c>
      <c r="M26" s="192">
        <f>'ORDER FORM'!L31*cfi</f>
        <v>0</v>
      </c>
      <c r="N26" s="7">
        <f t="shared" si="5"/>
        <v>0</v>
      </c>
      <c r="O26" s="19">
        <f t="shared" si="6"/>
        <v>0</v>
      </c>
      <c r="P26" s="99"/>
    </row>
    <row r="27" spans="2:26" x14ac:dyDescent="0.15">
      <c r="B27" s="5">
        <v>14</v>
      </c>
      <c r="C27" s="95">
        <f>'ORDER FORM'!D32</f>
        <v>0</v>
      </c>
      <c r="D27" s="192">
        <f>'ORDER FORM'!E32*cfi</f>
        <v>0</v>
      </c>
      <c r="E27" s="192">
        <f>'ORDER FORM'!F32*cfi</f>
        <v>0</v>
      </c>
      <c r="F27" s="7">
        <f t="shared" si="3"/>
        <v>0</v>
      </c>
      <c r="G27" s="19">
        <f t="shared" si="4"/>
        <v>0</v>
      </c>
      <c r="H27" s="19"/>
      <c r="J27" s="5">
        <v>14</v>
      </c>
      <c r="K27" s="95">
        <f>'ORDER FORM'!J32</f>
        <v>0</v>
      </c>
      <c r="L27" s="192">
        <f>'ORDER FORM'!K32*cfi</f>
        <v>0</v>
      </c>
      <c r="M27" s="192">
        <f>'ORDER FORM'!L32*cfi</f>
        <v>0</v>
      </c>
      <c r="N27" s="7">
        <f t="shared" si="5"/>
        <v>0</v>
      </c>
      <c r="O27" s="19">
        <f t="shared" si="6"/>
        <v>0</v>
      </c>
      <c r="P27" s="99"/>
    </row>
    <row r="28" spans="2:26" x14ac:dyDescent="0.15">
      <c r="B28" s="5">
        <v>15</v>
      </c>
      <c r="C28" s="95">
        <f>'ORDER FORM'!D33</f>
        <v>0</v>
      </c>
      <c r="D28" s="192">
        <f>'ORDER FORM'!E33*cfi</f>
        <v>0</v>
      </c>
      <c r="E28" s="192">
        <f>'ORDER FORM'!F33*cfi</f>
        <v>0</v>
      </c>
      <c r="F28" s="7">
        <f t="shared" si="3"/>
        <v>0</v>
      </c>
      <c r="G28" s="19">
        <f t="shared" si="4"/>
        <v>0</v>
      </c>
      <c r="H28" s="19"/>
      <c r="J28" s="5">
        <v>15</v>
      </c>
      <c r="K28" s="95">
        <f>'ORDER FORM'!J33</f>
        <v>0</v>
      </c>
      <c r="L28" s="192">
        <f>'ORDER FORM'!K33*cfi</f>
        <v>0</v>
      </c>
      <c r="M28" s="192">
        <f>'ORDER FORM'!L33*cfi</f>
        <v>0</v>
      </c>
      <c r="N28" s="7">
        <f t="shared" si="5"/>
        <v>0</v>
      </c>
      <c r="O28" s="19">
        <f t="shared" si="6"/>
        <v>0</v>
      </c>
      <c r="P28" s="99"/>
      <c r="R28" s="5"/>
      <c r="T28" s="18"/>
      <c r="U28" s="18"/>
      <c r="V28" s="7"/>
      <c r="W28" s="19"/>
    </row>
    <row r="29" spans="2:26" ht="15" thickBot="1" x14ac:dyDescent="0.2">
      <c r="C29" s="95">
        <f>SUM(C14:C28)</f>
        <v>0</v>
      </c>
      <c r="F29" s="20" t="s">
        <v>281</v>
      </c>
      <c r="G29" s="100">
        <f>SUM(G14:G28)</f>
        <v>0</v>
      </c>
      <c r="H29" s="19"/>
      <c r="K29" s="95">
        <f>SUM(K14:K28)</f>
        <v>0</v>
      </c>
      <c r="N29" s="20" t="s">
        <v>281</v>
      </c>
      <c r="O29" s="100">
        <f>SUM(O14:O28)</f>
        <v>0</v>
      </c>
      <c r="P29" s="102"/>
      <c r="R29" s="580" t="s">
        <v>509</v>
      </c>
      <c r="S29" s="580"/>
      <c r="T29" s="580"/>
      <c r="U29" s="180">
        <f>C29+K29+S20</f>
        <v>0</v>
      </c>
    </row>
    <row r="30" spans="2:26" ht="20" customHeight="1" thickTop="1" x14ac:dyDescent="0.15"/>
    <row r="31" spans="2:26" x14ac:dyDescent="0.15">
      <c r="B31" s="103" t="s">
        <v>358</v>
      </c>
      <c r="J31" s="103" t="s">
        <v>359</v>
      </c>
      <c r="L31" s="18"/>
      <c r="M31" s="18"/>
      <c r="N31" s="7"/>
      <c r="O31" s="19"/>
      <c r="P31" s="99"/>
      <c r="R31" s="103" t="s">
        <v>518</v>
      </c>
    </row>
    <row r="32" spans="2:26" ht="31" customHeight="1" x14ac:dyDescent="0.15">
      <c r="B32" s="17" t="s">
        <v>519</v>
      </c>
      <c r="C32" s="17" t="s">
        <v>520</v>
      </c>
      <c r="D32" s="17" t="s">
        <v>161</v>
      </c>
      <c r="E32" s="17" t="s">
        <v>162</v>
      </c>
      <c r="F32" s="17" t="s">
        <v>115</v>
      </c>
      <c r="G32" s="17" t="s">
        <v>522</v>
      </c>
      <c r="H32" s="17"/>
      <c r="J32" s="17" t="s">
        <v>519</v>
      </c>
      <c r="K32" s="17" t="s">
        <v>520</v>
      </c>
      <c r="L32" s="17" t="s">
        <v>161</v>
      </c>
      <c r="M32" s="17" t="s">
        <v>162</v>
      </c>
      <c r="N32" s="17" t="s">
        <v>115</v>
      </c>
      <c r="O32" s="17" t="s">
        <v>522</v>
      </c>
      <c r="P32" s="17"/>
      <c r="R32" s="17" t="s">
        <v>519</v>
      </c>
      <c r="S32" s="17" t="s">
        <v>520</v>
      </c>
      <c r="T32" s="17" t="s">
        <v>161</v>
      </c>
      <c r="U32" s="17" t="s">
        <v>162</v>
      </c>
      <c r="V32" s="17" t="s">
        <v>115</v>
      </c>
      <c r="W32" s="17" t="s">
        <v>522</v>
      </c>
    </row>
    <row r="33" spans="2:23" x14ac:dyDescent="0.15">
      <c r="B33" s="5">
        <v>1</v>
      </c>
      <c r="C33" s="95">
        <f>'ORDER FORM'!O19</f>
        <v>0</v>
      </c>
      <c r="D33" s="192">
        <f>'ORDER FORM'!P19*cfi</f>
        <v>0</v>
      </c>
      <c r="E33" s="192">
        <f>'ORDER FORM'!R19*cfi</f>
        <v>0</v>
      </c>
      <c r="F33" s="7">
        <f>IF(C33=0,0,IF(D33*E33/144&lt;1.5,1.5,D33*E33/144))</f>
        <v>0</v>
      </c>
      <c r="G33" s="19">
        <f>F33*C33</f>
        <v>0</v>
      </c>
      <c r="H33" s="19"/>
      <c r="J33" s="5">
        <v>1</v>
      </c>
      <c r="K33" s="95">
        <f>'ORDER FORM'!O33</f>
        <v>0</v>
      </c>
      <c r="L33" s="192">
        <f>'ORDER FORM'!P33*cfi</f>
        <v>0</v>
      </c>
      <c r="M33" s="192">
        <f>'ORDER FORM'!R33*cfi</f>
        <v>0</v>
      </c>
      <c r="N33" s="7">
        <f>IF(K33=0,0,IF(L33*M33/144&lt;1,1,L33*M33/144))</f>
        <v>0</v>
      </c>
      <c r="O33" s="19">
        <f>N33*K33</f>
        <v>0</v>
      </c>
      <c r="P33" s="99"/>
      <c r="R33" s="5">
        <v>1</v>
      </c>
      <c r="S33" s="95">
        <f>'ORDER FORM'!O47</f>
        <v>0</v>
      </c>
      <c r="T33" s="192">
        <f>'ORDER FORM'!P47*cfi</f>
        <v>0</v>
      </c>
      <c r="U33" s="192">
        <f>'ORDER FORM'!R47*cfi</f>
        <v>0</v>
      </c>
      <c r="V33" s="7">
        <f>IF(S33=0,0,IF(T33*U33/144&lt;1.5,1.5,T33*U33/144))</f>
        <v>0</v>
      </c>
      <c r="W33" s="19">
        <f>V33*S33</f>
        <v>0</v>
      </c>
    </row>
    <row r="34" spans="2:23" x14ac:dyDescent="0.15">
      <c r="B34" s="5">
        <v>2</v>
      </c>
      <c r="C34" s="95">
        <f>'ORDER FORM'!O20</f>
        <v>0</v>
      </c>
      <c r="D34" s="192">
        <f>'ORDER FORM'!P20*cfi</f>
        <v>0</v>
      </c>
      <c r="E34" s="192">
        <f>'ORDER FORM'!R20*cfi</f>
        <v>0</v>
      </c>
      <c r="F34" s="7">
        <f t="shared" ref="F34:F42" si="7">IF(C34=0,0,IF(D34*E34/144&lt;1.5,1.5,D34*E34/144))</f>
        <v>0</v>
      </c>
      <c r="G34" s="19">
        <f t="shared" ref="G34:G42" si="8">F34*C34</f>
        <v>0</v>
      </c>
      <c r="H34" s="19"/>
      <c r="J34" s="5">
        <v>2</v>
      </c>
      <c r="K34" s="95">
        <f>'ORDER FORM'!O34</f>
        <v>0</v>
      </c>
      <c r="L34" s="192">
        <f>'ORDER FORM'!P34*cfi</f>
        <v>0</v>
      </c>
      <c r="M34" s="192">
        <f>'ORDER FORM'!R34*cfi</f>
        <v>0</v>
      </c>
      <c r="N34" s="7">
        <f>IF(K34=0,0,IF(L34*M34/144&lt;1,1,L34*M34/144))</f>
        <v>0</v>
      </c>
      <c r="O34" s="19">
        <f>N34*K34</f>
        <v>0</v>
      </c>
      <c r="P34" s="99"/>
      <c r="R34" s="5">
        <v>2</v>
      </c>
      <c r="S34" s="95">
        <f>'ORDER FORM'!O48</f>
        <v>0</v>
      </c>
      <c r="T34" s="192">
        <f>'ORDER FORM'!P48*cfi</f>
        <v>0</v>
      </c>
      <c r="U34" s="192">
        <f>'ORDER FORM'!R48*cfi</f>
        <v>0</v>
      </c>
      <c r="V34" s="7">
        <f t="shared" ref="V34:V42" si="9">IF(S34=0,0,IF(T34*U34/144&lt;1.5,1.5,T34*U34/144))</f>
        <v>0</v>
      </c>
      <c r="W34" s="19">
        <f t="shared" ref="W34:W42" si="10">V34*S34</f>
        <v>0</v>
      </c>
    </row>
    <row r="35" spans="2:23" x14ac:dyDescent="0.15">
      <c r="B35" s="5">
        <v>3</v>
      </c>
      <c r="C35" s="95">
        <f>'ORDER FORM'!O21</f>
        <v>0</v>
      </c>
      <c r="D35" s="192">
        <f>'ORDER FORM'!P21*cfi</f>
        <v>0</v>
      </c>
      <c r="E35" s="192">
        <f>'ORDER FORM'!R21*cfi</f>
        <v>0</v>
      </c>
      <c r="F35" s="7">
        <f t="shared" si="7"/>
        <v>0</v>
      </c>
      <c r="G35" s="19">
        <f t="shared" si="8"/>
        <v>0</v>
      </c>
      <c r="H35" s="19"/>
      <c r="J35" s="5">
        <v>3</v>
      </c>
      <c r="K35" s="95">
        <f>'ORDER FORM'!O35</f>
        <v>0</v>
      </c>
      <c r="L35" s="192">
        <f>'ORDER FORM'!P35*cfi</f>
        <v>0</v>
      </c>
      <c r="M35" s="192">
        <f>'ORDER FORM'!R35*cfi</f>
        <v>0</v>
      </c>
      <c r="N35" s="7">
        <f>IF(K35=0,0,IF(L35*M35/144&lt;1,1,L35*M35/144))</f>
        <v>0</v>
      </c>
      <c r="O35" s="19">
        <f>N35*K35</f>
        <v>0</v>
      </c>
      <c r="P35" s="99"/>
      <c r="R35" s="5">
        <v>3</v>
      </c>
      <c r="S35" s="95">
        <f>'ORDER FORM'!O49</f>
        <v>0</v>
      </c>
      <c r="T35" s="192">
        <f>'ORDER FORM'!P49*cfi</f>
        <v>0</v>
      </c>
      <c r="U35" s="192">
        <f>'ORDER FORM'!R49*cfi</f>
        <v>0</v>
      </c>
      <c r="V35" s="7">
        <f t="shared" si="9"/>
        <v>0</v>
      </c>
      <c r="W35" s="19">
        <f t="shared" si="10"/>
        <v>0</v>
      </c>
    </row>
    <row r="36" spans="2:23" x14ac:dyDescent="0.15">
      <c r="B36" s="5">
        <v>4</v>
      </c>
      <c r="C36" s="95">
        <f>'ORDER FORM'!O22</f>
        <v>0</v>
      </c>
      <c r="D36" s="192">
        <f>'ORDER FORM'!P22*cfi</f>
        <v>0</v>
      </c>
      <c r="E36" s="192">
        <f>'ORDER FORM'!R22*cfi</f>
        <v>0</v>
      </c>
      <c r="F36" s="7">
        <f t="shared" si="7"/>
        <v>0</v>
      </c>
      <c r="G36" s="19">
        <f t="shared" si="8"/>
        <v>0</v>
      </c>
      <c r="H36" s="19"/>
      <c r="J36" s="5">
        <v>4</v>
      </c>
      <c r="K36" s="95">
        <f>'ORDER FORM'!O36</f>
        <v>0</v>
      </c>
      <c r="L36" s="192">
        <f>'ORDER FORM'!P36*cfi</f>
        <v>0</v>
      </c>
      <c r="M36" s="192">
        <f>'ORDER FORM'!R36*cfi</f>
        <v>0</v>
      </c>
      <c r="N36" s="7">
        <f>IF(K36=0,0,IF(L36*M36/144&lt;1,1,L36*M36/144))</f>
        <v>0</v>
      </c>
      <c r="O36" s="19">
        <f>N36*K36</f>
        <v>0</v>
      </c>
      <c r="P36" s="99"/>
      <c r="R36" s="5">
        <v>4</v>
      </c>
      <c r="S36" s="95">
        <f>'ORDER FORM'!O50</f>
        <v>0</v>
      </c>
      <c r="T36" s="192">
        <f>'ORDER FORM'!P50*cfi</f>
        <v>0</v>
      </c>
      <c r="U36" s="192">
        <f>'ORDER FORM'!R50*cfi</f>
        <v>0</v>
      </c>
      <c r="V36" s="7">
        <f t="shared" si="9"/>
        <v>0</v>
      </c>
      <c r="W36" s="19">
        <f t="shared" si="10"/>
        <v>0</v>
      </c>
    </row>
    <row r="37" spans="2:23" x14ac:dyDescent="0.15">
      <c r="B37" s="5">
        <v>5</v>
      </c>
      <c r="C37" s="95">
        <f>'ORDER FORM'!O23</f>
        <v>0</v>
      </c>
      <c r="D37" s="192">
        <f>'ORDER FORM'!P23*cfi</f>
        <v>0</v>
      </c>
      <c r="E37" s="192">
        <f>'ORDER FORM'!R23*cfi</f>
        <v>0</v>
      </c>
      <c r="F37" s="7">
        <f t="shared" si="7"/>
        <v>0</v>
      </c>
      <c r="G37" s="19">
        <f t="shared" si="8"/>
        <v>0</v>
      </c>
      <c r="H37" s="19"/>
      <c r="J37" s="5">
        <v>5</v>
      </c>
      <c r="K37" s="95">
        <f>'ORDER FORM'!O37</f>
        <v>0</v>
      </c>
      <c r="L37" s="192">
        <f>'ORDER FORM'!P37*cfi</f>
        <v>0</v>
      </c>
      <c r="M37" s="192">
        <f>'ORDER FORM'!R37*cfi</f>
        <v>0</v>
      </c>
      <c r="N37" s="7">
        <f t="shared" ref="N37:N42" si="11">IF(K37=0,0,IF(L37*M37/144&lt;1,1,L37*M37/144))</f>
        <v>0</v>
      </c>
      <c r="O37" s="19">
        <f t="shared" ref="O37:O42" si="12">N37*K37</f>
        <v>0</v>
      </c>
      <c r="P37" s="99"/>
      <c r="R37" s="5">
        <v>5</v>
      </c>
      <c r="S37" s="95">
        <f>'ORDER FORM'!O51</f>
        <v>0</v>
      </c>
      <c r="T37" s="192">
        <f>'ORDER FORM'!P51*cfi</f>
        <v>0</v>
      </c>
      <c r="U37" s="192">
        <f>'ORDER FORM'!R51*cfi</f>
        <v>0</v>
      </c>
      <c r="V37" s="7">
        <f t="shared" si="9"/>
        <v>0</v>
      </c>
      <c r="W37" s="19">
        <f t="shared" si="10"/>
        <v>0</v>
      </c>
    </row>
    <row r="38" spans="2:23" x14ac:dyDescent="0.15">
      <c r="B38" s="5">
        <v>6</v>
      </c>
      <c r="C38" s="95">
        <f>'ORDER FORM'!O24</f>
        <v>0</v>
      </c>
      <c r="D38" s="192">
        <f>'ORDER FORM'!P24*cfi</f>
        <v>0</v>
      </c>
      <c r="E38" s="192">
        <f>'ORDER FORM'!R24*cfi</f>
        <v>0</v>
      </c>
      <c r="F38" s="7">
        <f t="shared" si="7"/>
        <v>0</v>
      </c>
      <c r="G38" s="19">
        <f t="shared" si="8"/>
        <v>0</v>
      </c>
      <c r="H38" s="19"/>
      <c r="J38" s="5">
        <v>6</v>
      </c>
      <c r="K38" s="95">
        <f>'ORDER FORM'!O38</f>
        <v>0</v>
      </c>
      <c r="L38" s="192">
        <f>'ORDER FORM'!P38*cfi</f>
        <v>0</v>
      </c>
      <c r="M38" s="192">
        <f>'ORDER FORM'!R38*cfi</f>
        <v>0</v>
      </c>
      <c r="N38" s="7">
        <f t="shared" si="11"/>
        <v>0</v>
      </c>
      <c r="O38" s="19">
        <f t="shared" si="12"/>
        <v>0</v>
      </c>
      <c r="P38" s="99"/>
      <c r="R38" s="5">
        <v>6</v>
      </c>
      <c r="S38" s="95">
        <f>'ORDER FORM'!O52</f>
        <v>0</v>
      </c>
      <c r="T38" s="192">
        <f>'ORDER FORM'!P52*cfi</f>
        <v>0</v>
      </c>
      <c r="U38" s="192">
        <f>'ORDER FORM'!R52*cfi</f>
        <v>0</v>
      </c>
      <c r="V38" s="7">
        <f t="shared" si="9"/>
        <v>0</v>
      </c>
      <c r="W38" s="19">
        <f t="shared" si="10"/>
        <v>0</v>
      </c>
    </row>
    <row r="39" spans="2:23" x14ac:dyDescent="0.15">
      <c r="B39" s="5">
        <v>7</v>
      </c>
      <c r="C39" s="95">
        <f>'ORDER FORM'!O25</f>
        <v>0</v>
      </c>
      <c r="D39" s="192">
        <f>'ORDER FORM'!P25*cfi</f>
        <v>0</v>
      </c>
      <c r="E39" s="192">
        <f>'ORDER FORM'!R25*cfi</f>
        <v>0</v>
      </c>
      <c r="F39" s="7">
        <f t="shared" si="7"/>
        <v>0</v>
      </c>
      <c r="G39" s="19">
        <f t="shared" si="8"/>
        <v>0</v>
      </c>
      <c r="H39" s="19"/>
      <c r="J39" s="5">
        <v>7</v>
      </c>
      <c r="K39" s="95">
        <f>'ORDER FORM'!O39</f>
        <v>0</v>
      </c>
      <c r="L39" s="192">
        <f>'ORDER FORM'!P39*cfi</f>
        <v>0</v>
      </c>
      <c r="M39" s="192">
        <f>'ORDER FORM'!R39*cfi</f>
        <v>0</v>
      </c>
      <c r="N39" s="7">
        <f t="shared" si="11"/>
        <v>0</v>
      </c>
      <c r="O39" s="19">
        <f t="shared" si="12"/>
        <v>0</v>
      </c>
      <c r="P39" s="99"/>
      <c r="R39" s="5">
        <v>7</v>
      </c>
      <c r="S39" s="95">
        <f>'ORDER FORM'!O53</f>
        <v>0</v>
      </c>
      <c r="T39" s="192">
        <f>'ORDER FORM'!P53*cfi</f>
        <v>0</v>
      </c>
      <c r="U39" s="192">
        <f>'ORDER FORM'!R53*cfi</f>
        <v>0</v>
      </c>
      <c r="V39" s="7">
        <f t="shared" si="9"/>
        <v>0</v>
      </c>
      <c r="W39" s="19">
        <f t="shared" si="10"/>
        <v>0</v>
      </c>
    </row>
    <row r="40" spans="2:23" x14ac:dyDescent="0.15">
      <c r="B40" s="5">
        <v>8</v>
      </c>
      <c r="C40" s="95">
        <f>'ORDER FORM'!O26</f>
        <v>0</v>
      </c>
      <c r="D40" s="192">
        <f>'ORDER FORM'!P26*cfi</f>
        <v>0</v>
      </c>
      <c r="E40" s="192">
        <f>'ORDER FORM'!R26*cfi</f>
        <v>0</v>
      </c>
      <c r="F40" s="7">
        <f t="shared" si="7"/>
        <v>0</v>
      </c>
      <c r="G40" s="19">
        <f t="shared" si="8"/>
        <v>0</v>
      </c>
      <c r="H40" s="19"/>
      <c r="J40" s="5">
        <v>8</v>
      </c>
      <c r="K40" s="95">
        <f>'ORDER FORM'!O40</f>
        <v>0</v>
      </c>
      <c r="L40" s="192">
        <f>'ORDER FORM'!P40*cfi</f>
        <v>0</v>
      </c>
      <c r="M40" s="192">
        <f>'ORDER FORM'!R40*cfi</f>
        <v>0</v>
      </c>
      <c r="N40" s="7">
        <f t="shared" si="11"/>
        <v>0</v>
      </c>
      <c r="O40" s="19">
        <f t="shared" si="12"/>
        <v>0</v>
      </c>
      <c r="P40" s="99"/>
      <c r="R40" s="5">
        <v>8</v>
      </c>
      <c r="S40" s="95">
        <f>'ORDER FORM'!O54</f>
        <v>0</v>
      </c>
      <c r="T40" s="192">
        <f>'ORDER FORM'!P54*cfi</f>
        <v>0</v>
      </c>
      <c r="U40" s="192">
        <f>'ORDER FORM'!R54*cfi</f>
        <v>0</v>
      </c>
      <c r="V40" s="7">
        <f t="shared" si="9"/>
        <v>0</v>
      </c>
      <c r="W40" s="19">
        <f t="shared" si="10"/>
        <v>0</v>
      </c>
    </row>
    <row r="41" spans="2:23" x14ac:dyDescent="0.15">
      <c r="B41" s="5">
        <v>9</v>
      </c>
      <c r="C41" s="95">
        <f>'ORDER FORM'!O27</f>
        <v>0</v>
      </c>
      <c r="D41" s="192">
        <f>'ORDER FORM'!P27*cfi</f>
        <v>0</v>
      </c>
      <c r="E41" s="192">
        <f>'ORDER FORM'!R27*cfi</f>
        <v>0</v>
      </c>
      <c r="F41" s="7">
        <f t="shared" si="7"/>
        <v>0</v>
      </c>
      <c r="G41" s="19">
        <f t="shared" si="8"/>
        <v>0</v>
      </c>
      <c r="H41" s="19"/>
      <c r="J41" s="5">
        <v>9</v>
      </c>
      <c r="K41" s="95">
        <f>'ORDER FORM'!O41</f>
        <v>0</v>
      </c>
      <c r="L41" s="192">
        <f>'ORDER FORM'!P41*cfi</f>
        <v>0</v>
      </c>
      <c r="M41" s="192">
        <f>'ORDER FORM'!R41*cfi</f>
        <v>0</v>
      </c>
      <c r="N41" s="7">
        <f t="shared" si="11"/>
        <v>0</v>
      </c>
      <c r="O41" s="19">
        <f t="shared" si="12"/>
        <v>0</v>
      </c>
      <c r="P41" s="99"/>
      <c r="R41" s="5">
        <v>9</v>
      </c>
      <c r="S41" s="95">
        <f>'ORDER FORM'!O55</f>
        <v>0</v>
      </c>
      <c r="T41" s="192">
        <f>'ORDER FORM'!P55*cfi</f>
        <v>0</v>
      </c>
      <c r="U41" s="192">
        <f>'ORDER FORM'!R55*cfi</f>
        <v>0</v>
      </c>
      <c r="V41" s="7">
        <f t="shared" si="9"/>
        <v>0</v>
      </c>
      <c r="W41" s="19">
        <f t="shared" si="10"/>
        <v>0</v>
      </c>
    </row>
    <row r="42" spans="2:23" x14ac:dyDescent="0.15">
      <c r="B42" s="5">
        <v>10</v>
      </c>
      <c r="C42" s="95">
        <f>'ORDER FORM'!O28</f>
        <v>0</v>
      </c>
      <c r="D42" s="192">
        <f>'ORDER FORM'!P28*cfi</f>
        <v>0</v>
      </c>
      <c r="E42" s="192">
        <f>'ORDER FORM'!R28*cfi</f>
        <v>0</v>
      </c>
      <c r="F42" s="7">
        <f t="shared" si="7"/>
        <v>0</v>
      </c>
      <c r="G42" s="19">
        <f t="shared" si="8"/>
        <v>0</v>
      </c>
      <c r="H42" s="19"/>
      <c r="J42" s="5">
        <v>10</v>
      </c>
      <c r="K42" s="95">
        <f>'ORDER FORM'!O42</f>
        <v>0</v>
      </c>
      <c r="L42" s="192">
        <f>'ORDER FORM'!P42*cfi</f>
        <v>0</v>
      </c>
      <c r="M42" s="192">
        <f>'ORDER FORM'!R42*cfi</f>
        <v>0</v>
      </c>
      <c r="N42" s="7">
        <f t="shared" si="11"/>
        <v>0</v>
      </c>
      <c r="O42" s="19">
        <f t="shared" si="12"/>
        <v>0</v>
      </c>
      <c r="P42" s="99"/>
      <c r="R42" s="5">
        <v>10</v>
      </c>
      <c r="S42" s="95">
        <f>'ORDER FORM'!O56</f>
        <v>0</v>
      </c>
      <c r="T42" s="192">
        <f>'ORDER FORM'!P56*cfi</f>
        <v>0</v>
      </c>
      <c r="U42" s="192">
        <f>'ORDER FORM'!R56*cfi</f>
        <v>0</v>
      </c>
      <c r="V42" s="7">
        <f t="shared" si="9"/>
        <v>0</v>
      </c>
      <c r="W42" s="19">
        <f t="shared" si="10"/>
        <v>0</v>
      </c>
    </row>
    <row r="43" spans="2:23" x14ac:dyDescent="0.15">
      <c r="C43" s="95">
        <f>SUM(C33:C42)</f>
        <v>0</v>
      </c>
      <c r="F43" s="20" t="s">
        <v>281</v>
      </c>
      <c r="G43" s="100">
        <f>SUM(G33:G42)</f>
        <v>0</v>
      </c>
      <c r="H43" s="19"/>
      <c r="K43" s="95">
        <f>SUM(K33:K42)</f>
        <v>0</v>
      </c>
      <c r="N43" s="20" t="s">
        <v>437</v>
      </c>
      <c r="O43" s="100">
        <f>SUM(O33:O42)</f>
        <v>0</v>
      </c>
      <c r="P43" s="102"/>
      <c r="S43" s="95">
        <f>SUM(S33:S42)</f>
        <v>0</v>
      </c>
      <c r="V43" s="20" t="s">
        <v>281</v>
      </c>
      <c r="W43" s="100">
        <f>SUM(W33:W42)</f>
        <v>0</v>
      </c>
    </row>
    <row r="45" spans="2:23" ht="15" thickBot="1" x14ac:dyDescent="0.2">
      <c r="Q45" s="580" t="s">
        <v>510</v>
      </c>
      <c r="R45" s="580"/>
      <c r="S45" s="580"/>
      <c r="T45" s="580"/>
      <c r="U45" s="180">
        <f>C43+K43+S43</f>
        <v>0</v>
      </c>
      <c r="V45" s="20"/>
      <c r="W45" s="19"/>
    </row>
    <row r="46" spans="2:23" ht="30" customHeight="1" thickTop="1" thickBot="1" x14ac:dyDescent="0.25">
      <c r="Q46" s="578" t="s">
        <v>200</v>
      </c>
      <c r="R46" s="579"/>
      <c r="S46" s="579"/>
      <c r="T46" s="579"/>
      <c r="U46" s="579"/>
      <c r="V46" s="579"/>
      <c r="W46" s="179">
        <f>G29+O29+W20+G43+O43+W43</f>
        <v>0</v>
      </c>
    </row>
    <row r="47" spans="2:23" ht="23" customHeight="1" thickTop="1" x14ac:dyDescent="0.15"/>
    <row r="48" spans="2:23" ht="15" customHeight="1" x14ac:dyDescent="0.15">
      <c r="B48" s="103" t="s">
        <v>362</v>
      </c>
      <c r="J48" s="21" t="s">
        <v>385</v>
      </c>
      <c r="L48">
        <f>'ORDER FORM'!L53</f>
        <v>0</v>
      </c>
      <c r="R48" s="581" t="s">
        <v>386</v>
      </c>
      <c r="S48" s="359"/>
    </row>
    <row r="49" spans="2:25" ht="31" customHeight="1" x14ac:dyDescent="0.15">
      <c r="B49" s="17" t="s">
        <v>519</v>
      </c>
      <c r="C49" s="17" t="s">
        <v>520</v>
      </c>
      <c r="D49" s="17" t="s">
        <v>161</v>
      </c>
      <c r="E49" s="17" t="s">
        <v>162</v>
      </c>
      <c r="F49" s="17" t="s">
        <v>116</v>
      </c>
      <c r="G49" s="17" t="s">
        <v>522</v>
      </c>
      <c r="H49" s="17" t="s">
        <v>282</v>
      </c>
      <c r="J49" s="17" t="s">
        <v>519</v>
      </c>
      <c r="K49" s="17" t="s">
        <v>520</v>
      </c>
      <c r="L49" s="17" t="s">
        <v>161</v>
      </c>
      <c r="M49" s="17" t="s">
        <v>162</v>
      </c>
      <c r="N49" s="17" t="s">
        <v>116</v>
      </c>
      <c r="O49" s="17" t="s">
        <v>522</v>
      </c>
      <c r="P49" s="17" t="s">
        <v>514</v>
      </c>
      <c r="R49" s="17" t="s">
        <v>519</v>
      </c>
      <c r="S49" s="17" t="s">
        <v>520</v>
      </c>
      <c r="T49" s="17" t="s">
        <v>118</v>
      </c>
    </row>
    <row r="50" spans="2:25" x14ac:dyDescent="0.15">
      <c r="B50" s="5">
        <v>1</v>
      </c>
      <c r="C50" s="82">
        <f>'ORDER FORM'!H48</f>
        <v>0</v>
      </c>
      <c r="D50" s="193">
        <f>'ORDER FORM'!I48</f>
        <v>0</v>
      </c>
      <c r="E50" s="193">
        <f>'ORDER FORM'!K48</f>
        <v>0</v>
      </c>
      <c r="F50" s="7">
        <f>IF(C50=0,0,IF(D50*E50/144&lt;1.5,1.5,D50*E50/144))</f>
        <v>0</v>
      </c>
      <c r="G50" s="19">
        <f>F50*C50</f>
        <v>0</v>
      </c>
      <c r="H50">
        <f>'ORDER FORM'!L48</f>
        <v>0</v>
      </c>
      <c r="J50" s="149">
        <v>1</v>
      </c>
      <c r="K50" s="95">
        <f>'ORDER FORM'!H55</f>
        <v>0</v>
      </c>
      <c r="L50" s="192">
        <f>'ORDER FORM'!I55</f>
        <v>0</v>
      </c>
      <c r="M50" s="192">
        <f>'ORDER FORM'!K55</f>
        <v>0</v>
      </c>
      <c r="N50" s="7">
        <f>IF(K50=0,0,IF(L50*M50/144&lt;2.5,2.5,L50*M50/144))</f>
        <v>0</v>
      </c>
      <c r="O50" s="99">
        <f>K50*N50</f>
        <v>0</v>
      </c>
      <c r="P50" s="99"/>
      <c r="R50" s="149">
        <v>1</v>
      </c>
      <c r="S50" s="95">
        <f>'ORDER FORM'!B48</f>
        <v>0</v>
      </c>
      <c r="T50" s="577">
        <f>'ORDER FORM'!C48</f>
        <v>0</v>
      </c>
      <c r="U50" s="577"/>
      <c r="V50" s="577"/>
    </row>
    <row r="51" spans="2:25" x14ac:dyDescent="0.15">
      <c r="B51" s="5">
        <v>2</v>
      </c>
      <c r="C51" s="82">
        <f>'ORDER FORM'!H49</f>
        <v>0</v>
      </c>
      <c r="D51" s="193">
        <f>'ORDER FORM'!I49</f>
        <v>0</v>
      </c>
      <c r="E51" s="193">
        <f>'ORDER FORM'!K49</f>
        <v>0</v>
      </c>
      <c r="F51" s="7">
        <f>IF(C51=0,0,IF(D51*E51/144&lt;1.5,1.5,D51*E51/144))</f>
        <v>0</v>
      </c>
      <c r="G51" s="99">
        <f>F51*C51</f>
        <v>0</v>
      </c>
      <c r="H51">
        <f>'ORDER FORM'!L49</f>
        <v>0</v>
      </c>
      <c r="J51" s="149">
        <v>2</v>
      </c>
      <c r="K51" s="95">
        <f>'ORDER FORM'!H56</f>
        <v>0</v>
      </c>
      <c r="L51" s="192">
        <f>'ORDER FORM'!I56</f>
        <v>0</v>
      </c>
      <c r="M51" s="192">
        <f>'ORDER FORM'!K56</f>
        <v>0</v>
      </c>
      <c r="N51" s="7">
        <f>IF(K51=0,0,IF(L51*M51/144&lt;2.5,2.5,L51*M51/144))</f>
        <v>0</v>
      </c>
      <c r="O51" s="99">
        <f>K51*N51</f>
        <v>0</v>
      </c>
      <c r="P51" s="99"/>
      <c r="R51" s="149">
        <v>2</v>
      </c>
      <c r="S51" s="95">
        <f>'ORDER FORM'!B49</f>
        <v>0</v>
      </c>
      <c r="T51" s="577">
        <f>'ORDER FORM'!C49</f>
        <v>0</v>
      </c>
      <c r="U51" s="577"/>
      <c r="V51" s="577"/>
    </row>
    <row r="52" spans="2:25" x14ac:dyDescent="0.15">
      <c r="B52" s="91">
        <v>3</v>
      </c>
      <c r="C52" s="82">
        <f>'ORDER FORM'!H50</f>
        <v>0</v>
      </c>
      <c r="D52" s="193">
        <f>'ORDER FORM'!I50</f>
        <v>0</v>
      </c>
      <c r="E52" s="193">
        <f>'ORDER FORM'!K50</f>
        <v>0</v>
      </c>
      <c r="F52" s="7">
        <f>IF(C52=0,0,IF(D52*E52/144&lt;1.5,1.5,D52*E52/144))</f>
        <v>0</v>
      </c>
      <c r="G52" s="99">
        <f>F52*C52</f>
        <v>0</v>
      </c>
      <c r="H52">
        <f>'ORDER FORM'!L50</f>
        <v>0</v>
      </c>
      <c r="J52" s="149">
        <v>3</v>
      </c>
      <c r="K52" s="95">
        <f>'ORDER FORM'!H57</f>
        <v>0</v>
      </c>
      <c r="L52" s="192">
        <f>'ORDER FORM'!I57</f>
        <v>0</v>
      </c>
      <c r="M52" s="192">
        <f>'ORDER FORM'!K57</f>
        <v>0</v>
      </c>
      <c r="N52" s="7">
        <f>IF(K52=0,0,IF(L52*M52/144&lt;2.5,2.5,L52*M52/144))</f>
        <v>0</v>
      </c>
      <c r="O52" s="99">
        <f>K52*N52</f>
        <v>0</v>
      </c>
      <c r="P52" s="99"/>
      <c r="R52" s="149">
        <v>3</v>
      </c>
      <c r="S52" s="95">
        <f>'ORDER FORM'!B50</f>
        <v>0</v>
      </c>
      <c r="T52" s="577">
        <f>'ORDER FORM'!C50</f>
        <v>0</v>
      </c>
      <c r="U52" s="577"/>
      <c r="V52" s="577"/>
    </row>
    <row r="53" spans="2:25" x14ac:dyDescent="0.15">
      <c r="C53" s="95">
        <f>C50+C51+C52</f>
        <v>0</v>
      </c>
      <c r="F53" s="20" t="s">
        <v>436</v>
      </c>
      <c r="G53" s="101">
        <f>G50+G51+G52</f>
        <v>0</v>
      </c>
      <c r="H53" s="98"/>
      <c r="J53" s="149">
        <v>4</v>
      </c>
      <c r="K53" s="95">
        <f>'ORDER FORM'!H58</f>
        <v>0</v>
      </c>
      <c r="L53" s="192">
        <f>'ORDER FORM'!I58</f>
        <v>0</v>
      </c>
      <c r="M53" s="192">
        <f>'ORDER FORM'!K58</f>
        <v>0</v>
      </c>
      <c r="N53" s="7">
        <f>IF(K53=0,0,IF(L53*M53/144&lt;2.5,2.5,L53*M53/144))</f>
        <v>0</v>
      </c>
      <c r="O53" s="99">
        <f>K53*N53</f>
        <v>0</v>
      </c>
      <c r="P53" s="99"/>
      <c r="R53" s="149">
        <v>4</v>
      </c>
      <c r="S53" s="95">
        <f>'ORDER FORM'!B51</f>
        <v>0</v>
      </c>
      <c r="T53" s="577">
        <f>'ORDER FORM'!C51</f>
        <v>0</v>
      </c>
      <c r="U53" s="577"/>
      <c r="V53" s="577"/>
    </row>
    <row r="54" spans="2:25" x14ac:dyDescent="0.15">
      <c r="J54" s="149">
        <v>5</v>
      </c>
      <c r="K54" s="95">
        <f>'ORDER FORM'!H59</f>
        <v>0</v>
      </c>
      <c r="L54" s="192">
        <f>'ORDER FORM'!I59</f>
        <v>0</v>
      </c>
      <c r="M54" s="192">
        <f>'ORDER FORM'!K59</f>
        <v>0</v>
      </c>
      <c r="N54" s="7">
        <f>IF(K54=0,0,IF(L54*M54/144&lt;2.5,2.5,L54*M54/144))</f>
        <v>0</v>
      </c>
      <c r="O54" s="99">
        <f>K54*N54</f>
        <v>0</v>
      </c>
      <c r="P54" s="99"/>
    </row>
    <row r="55" spans="2:25" x14ac:dyDescent="0.15">
      <c r="K55" s="95">
        <f>SUM(K50:K54)</f>
        <v>0</v>
      </c>
      <c r="N55" s="20" t="s">
        <v>117</v>
      </c>
      <c r="O55" s="102">
        <f>SUM(O50:O54)</f>
        <v>0</v>
      </c>
      <c r="P55" s="102"/>
    </row>
    <row r="57" spans="2:25" ht="8" customHeight="1" x14ac:dyDescent="0.15"/>
    <row r="59" spans="2:25" ht="15" customHeight="1" x14ac:dyDescent="0.15"/>
    <row r="60" spans="2:25" x14ac:dyDescent="0.15">
      <c r="B60" t="s">
        <v>292</v>
      </c>
      <c r="J60" t="s">
        <v>294</v>
      </c>
      <c r="R60" s="21" t="s">
        <v>629</v>
      </c>
      <c r="S60">
        <f>'ORDER FORM'!F53</f>
        <v>0</v>
      </c>
    </row>
    <row r="61" spans="2:25" ht="31" customHeight="1" x14ac:dyDescent="0.15">
      <c r="B61" s="17" t="s">
        <v>519</v>
      </c>
      <c r="C61" s="17" t="s">
        <v>520</v>
      </c>
      <c r="D61" s="17" t="s">
        <v>161</v>
      </c>
      <c r="E61" s="17" t="s">
        <v>162</v>
      </c>
      <c r="F61" s="17" t="s">
        <v>116</v>
      </c>
      <c r="G61" s="17" t="s">
        <v>522</v>
      </c>
      <c r="H61" s="17" t="s">
        <v>282</v>
      </c>
      <c r="J61" s="17" t="s">
        <v>519</v>
      </c>
      <c r="K61" s="17" t="s">
        <v>520</v>
      </c>
      <c r="L61" s="17" t="s">
        <v>161</v>
      </c>
      <c r="M61" s="17" t="s">
        <v>162</v>
      </c>
      <c r="N61" s="17" t="s">
        <v>116</v>
      </c>
      <c r="O61" s="17" t="s">
        <v>522</v>
      </c>
      <c r="P61" s="17"/>
      <c r="R61" s="17" t="s">
        <v>519</v>
      </c>
      <c r="S61" s="17" t="s">
        <v>520</v>
      </c>
      <c r="T61" s="17" t="s">
        <v>118</v>
      </c>
    </row>
    <row r="62" spans="2:25" x14ac:dyDescent="0.15">
      <c r="B62" s="149">
        <v>1</v>
      </c>
      <c r="J62" s="149">
        <v>1</v>
      </c>
      <c r="R62" s="149">
        <v>1</v>
      </c>
      <c r="S62" s="95">
        <f>'ORDER FORM'!B55</f>
        <v>0</v>
      </c>
      <c r="T62" s="574" t="s">
        <v>119</v>
      </c>
      <c r="U62" s="574"/>
      <c r="V62" s="574"/>
      <c r="W62" s="574"/>
      <c r="X62" s="574"/>
      <c r="Y62" s="574"/>
    </row>
    <row r="63" spans="2:25" x14ac:dyDescent="0.15">
      <c r="B63" s="149">
        <v>2</v>
      </c>
      <c r="J63" s="149">
        <v>2</v>
      </c>
      <c r="R63" s="149">
        <v>2</v>
      </c>
      <c r="S63" s="95">
        <f>'ORDER FORM'!B56</f>
        <v>0</v>
      </c>
      <c r="T63" s="574" t="s">
        <v>120</v>
      </c>
      <c r="U63" s="574"/>
      <c r="V63" s="574"/>
      <c r="W63" s="574"/>
      <c r="X63" s="574"/>
      <c r="Y63" s="574"/>
    </row>
    <row r="64" spans="2:25" x14ac:dyDescent="0.15">
      <c r="B64" s="149">
        <v>3</v>
      </c>
      <c r="J64" s="149">
        <v>3</v>
      </c>
    </row>
  </sheetData>
  <sheetProtection password="CA8A" sheet="1" objects="1" scenarios="1" selectLockedCells="1" selectUnlockedCells="1"/>
  <mergeCells count="18">
    <mergeCell ref="D4:G4"/>
    <mergeCell ref="C2:D2"/>
    <mergeCell ref="D10:G10"/>
    <mergeCell ref="T62:Y62"/>
    <mergeCell ref="D7:G7"/>
    <mergeCell ref="D6:G6"/>
    <mergeCell ref="D5:G5"/>
    <mergeCell ref="T63:Y63"/>
    <mergeCell ref="D8:G8"/>
    <mergeCell ref="D9:G9"/>
    <mergeCell ref="T50:V50"/>
    <mergeCell ref="T51:V51"/>
    <mergeCell ref="T52:V52"/>
    <mergeCell ref="Q46:V46"/>
    <mergeCell ref="R29:T29"/>
    <mergeCell ref="Q45:T45"/>
    <mergeCell ref="T53:V53"/>
    <mergeCell ref="R48:S48"/>
  </mergeCells>
  <phoneticPr fontId="0" type="noConversion"/>
  <pageMargins left="0.40314960629921265" right="0.40314960629921265" top="0.40314960629921265" bottom="0.40314960629921265" header="0" footer="0"/>
  <pageSetup scale="57" orientation="landscape" horizontalDpi="4294967292" verticalDpi="4294967292" r:id="rId1"/>
  <extLst>
    <ext xmlns:mx="http://schemas.microsoft.com/office/mac/excel/2008/main" uri="{64002731-A6B0-56B0-2670-7721B7C09600}">
      <mx:PLV Mode="1"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pageSetUpPr fitToPage="1"/>
  </sheetPr>
  <dimension ref="A1:O66"/>
  <sheetViews>
    <sheetView showGridLines="0" showRowColHeaders="0" showRuler="0" view="pageLayout" zoomScale="99" zoomScaleNormal="99" zoomScalePageLayoutView="99" workbookViewId="0">
      <selection activeCell="F27" sqref="F27"/>
    </sheetView>
  </sheetViews>
  <sheetFormatPr baseColWidth="10" defaultColWidth="9.1640625" defaultRowHeight="15.75" customHeight="1" x14ac:dyDescent="0.2"/>
  <cols>
    <col min="1" max="1" width="8.83203125" style="37" customWidth="1"/>
    <col min="2" max="2" width="9.1640625" style="37"/>
    <col min="3" max="3" width="2.6640625" style="37" customWidth="1"/>
    <col min="4" max="4" width="6.6640625" style="37" customWidth="1"/>
    <col min="5" max="5" width="8.6640625" style="37" customWidth="1"/>
    <col min="6" max="7" width="12.6640625" style="37" customWidth="1"/>
    <col min="8" max="8" width="7.1640625" style="37" customWidth="1"/>
    <col min="9" max="9" width="9.5" style="37" customWidth="1"/>
    <col min="10" max="10" width="6.6640625" style="37" customWidth="1"/>
    <col min="11" max="11" width="8.6640625" style="37" customWidth="1"/>
    <col min="12" max="13" width="12.6640625" style="37" customWidth="1"/>
    <col min="14" max="14" width="4.6640625" style="37" customWidth="1"/>
    <col min="15" max="15" width="9.6640625" style="37" customWidth="1"/>
    <col min="16" max="16384" width="9.1640625" style="37"/>
  </cols>
  <sheetData>
    <row r="1" spans="1:15" ht="15.75" customHeight="1" x14ac:dyDescent="0.2">
      <c r="A1" s="38" t="s">
        <v>345</v>
      </c>
      <c r="B1" s="40">
        <f>'ORDER FORM'!E4</f>
        <v>0</v>
      </c>
      <c r="D1" s="38" t="s">
        <v>344</v>
      </c>
      <c r="E1" s="39"/>
      <c r="F1" s="595" t="str">
        <f>'ORDER FORM'!D7</f>
        <v>Cabinetmart Inc</v>
      </c>
      <c r="G1" s="586"/>
      <c r="H1" s="41"/>
      <c r="I1" s="41"/>
    </row>
    <row r="2" spans="1:15" ht="15.75" customHeight="1" x14ac:dyDescent="0.2">
      <c r="A2" s="590" t="s">
        <v>479</v>
      </c>
      <c r="B2" s="591"/>
      <c r="D2" s="43" t="s">
        <v>346</v>
      </c>
      <c r="E2" s="39"/>
      <c r="F2" s="595">
        <f>'ORDER FORM'!D8</f>
        <v>0</v>
      </c>
      <c r="G2" s="589"/>
      <c r="H2" s="41"/>
      <c r="I2" s="41"/>
      <c r="J2" s="38" t="s">
        <v>57</v>
      </c>
      <c r="K2" s="39"/>
      <c r="L2" s="42">
        <f>'ORDER FORM'!K11</f>
        <v>0</v>
      </c>
      <c r="M2" s="40"/>
    </row>
    <row r="3" spans="1:15" ht="15.75" customHeight="1" x14ac:dyDescent="0.2">
      <c r="A3" s="592"/>
      <c r="B3" s="592"/>
      <c r="D3" s="153" t="s">
        <v>160</v>
      </c>
      <c r="E3" s="154"/>
      <c r="F3" s="596">
        <f>'ORDER FORM'!D10</f>
        <v>0</v>
      </c>
      <c r="G3" s="597"/>
      <c r="H3" s="44"/>
      <c r="I3" s="44"/>
      <c r="J3" s="38" t="s">
        <v>58</v>
      </c>
      <c r="K3" s="39"/>
      <c r="L3" s="42">
        <f>'ORDER FORM'!K10</f>
        <v>0</v>
      </c>
      <c r="M3" s="40"/>
    </row>
    <row r="4" spans="1:15" ht="15.75" customHeight="1" x14ac:dyDescent="0.2">
      <c r="A4" s="593">
        <f>'ORDER FORM'!Q8</f>
        <v>0</v>
      </c>
      <c r="B4" s="594"/>
      <c r="D4" s="43" t="s">
        <v>357</v>
      </c>
      <c r="E4" s="39"/>
      <c r="F4" s="585">
        <f>'ORDER FORM'!D11</f>
        <v>0</v>
      </c>
      <c r="G4" s="589"/>
      <c r="H4" s="44"/>
      <c r="I4" s="44"/>
      <c r="J4" s="38" t="s">
        <v>168</v>
      </c>
      <c r="K4" s="39"/>
      <c r="L4" s="42">
        <f>'ORDER FORM'!K12</f>
        <v>0</v>
      </c>
      <c r="M4" s="40"/>
    </row>
    <row r="5" spans="1:15" ht="15.75" customHeight="1" x14ac:dyDescent="0.2">
      <c r="D5" s="603" t="s">
        <v>432</v>
      </c>
      <c r="E5" s="604"/>
      <c r="F5" s="587" t="str">
        <f>'ORDER FORM'!D12</f>
        <v>Standard sanding</v>
      </c>
      <c r="G5" s="588"/>
      <c r="H5" s="44"/>
      <c r="I5" s="44"/>
      <c r="J5" s="598" t="s">
        <v>434</v>
      </c>
      <c r="K5" s="599"/>
      <c r="L5" s="600">
        <f>'ORDER FORM'!K13</f>
        <v>0</v>
      </c>
      <c r="M5" s="586"/>
    </row>
    <row r="6" spans="1:15" ht="15.75" customHeight="1" x14ac:dyDescent="0.2">
      <c r="D6" s="151" t="s">
        <v>433</v>
      </c>
      <c r="E6" s="152"/>
      <c r="F6" s="595" t="str">
        <f>'ORDER FORM'!D13</f>
        <v>Unfinished</v>
      </c>
      <c r="G6" s="586"/>
      <c r="H6" s="44"/>
      <c r="I6" s="44"/>
      <c r="J6" s="38" t="s">
        <v>169</v>
      </c>
      <c r="K6" s="39"/>
      <c r="L6" s="585">
        <f>'ORDER FORM'!Q10</f>
        <v>0</v>
      </c>
      <c r="M6" s="586"/>
    </row>
    <row r="7" spans="1:15" ht="15.75" customHeight="1" thickBot="1" x14ac:dyDescent="0.25">
      <c r="D7" s="173"/>
      <c r="E7" s="41"/>
      <c r="F7" s="174"/>
      <c r="G7" s="175"/>
      <c r="H7" s="44"/>
      <c r="I7" s="44"/>
      <c r="J7" s="176"/>
      <c r="K7" s="174"/>
      <c r="L7" s="177"/>
      <c r="M7" s="41"/>
    </row>
    <row r="8" spans="1:15" ht="15.75" customHeight="1" thickBot="1" x14ac:dyDescent="0.25">
      <c r="D8" s="608" t="s">
        <v>341</v>
      </c>
      <c r="E8" s="609"/>
      <c r="F8" s="54" t="s">
        <v>171</v>
      </c>
      <c r="G8" s="189">
        <f>'ORDER FORM'!D16</f>
        <v>0</v>
      </c>
      <c r="J8" s="601" t="s">
        <v>342</v>
      </c>
      <c r="K8" s="602"/>
      <c r="L8" s="54" t="s">
        <v>171</v>
      </c>
      <c r="M8" s="190">
        <f>'ORDER FORM'!J16</f>
        <v>0</v>
      </c>
    </row>
    <row r="9" spans="1:15" ht="15" customHeight="1" x14ac:dyDescent="0.2">
      <c r="D9" s="52" t="s">
        <v>519</v>
      </c>
      <c r="E9" s="52" t="s">
        <v>339</v>
      </c>
      <c r="F9" s="52" t="s">
        <v>161</v>
      </c>
      <c r="G9" s="52" t="s">
        <v>162</v>
      </c>
      <c r="H9" s="45"/>
      <c r="J9" s="52" t="s">
        <v>519</v>
      </c>
      <c r="K9" s="52" t="s">
        <v>339</v>
      </c>
      <c r="L9" s="52" t="s">
        <v>161</v>
      </c>
      <c r="M9" s="52" t="s">
        <v>162</v>
      </c>
      <c r="N9" s="45"/>
      <c r="O9" s="45"/>
    </row>
    <row r="10" spans="1:15" ht="15.75" customHeight="1" x14ac:dyDescent="0.2">
      <c r="D10" s="46">
        <v>1</v>
      </c>
      <c r="E10" s="47">
        <f>Sizes!C8</f>
        <v>0</v>
      </c>
      <c r="F10" s="47">
        <f>Sizes!D8</f>
        <v>0</v>
      </c>
      <c r="G10" s="47">
        <f>Sizes!E8</f>
        <v>0</v>
      </c>
      <c r="H10" s="48"/>
      <c r="J10" s="46">
        <v>1</v>
      </c>
      <c r="K10" s="47">
        <f>Sizes!I8</f>
        <v>0</v>
      </c>
      <c r="L10" s="47">
        <f>Sizes!J8</f>
        <v>0</v>
      </c>
      <c r="M10" s="47">
        <f>Sizes!K8</f>
        <v>0</v>
      </c>
      <c r="N10" s="48"/>
    </row>
    <row r="11" spans="1:15" ht="15.75" customHeight="1" x14ac:dyDescent="0.2">
      <c r="D11" s="46">
        <v>2</v>
      </c>
      <c r="E11" s="47">
        <f>Sizes!C9</f>
        <v>0</v>
      </c>
      <c r="F11" s="47">
        <f>Sizes!D9</f>
        <v>0</v>
      </c>
      <c r="G11" s="47">
        <f>Sizes!E9</f>
        <v>0</v>
      </c>
      <c r="H11" s="48"/>
      <c r="J11" s="46">
        <v>2</v>
      </c>
      <c r="K11" s="47">
        <f>Sizes!I9</f>
        <v>0</v>
      </c>
      <c r="L11" s="47">
        <f>Sizes!J9</f>
        <v>0</v>
      </c>
      <c r="M11" s="47">
        <f>Sizes!K9</f>
        <v>0</v>
      </c>
      <c r="N11" s="48"/>
    </row>
    <row r="12" spans="1:15" ht="15.75" customHeight="1" x14ac:dyDescent="0.2">
      <c r="D12" s="46">
        <v>3</v>
      </c>
      <c r="E12" s="47">
        <f>Sizes!C10</f>
        <v>0</v>
      </c>
      <c r="F12" s="47">
        <f>Sizes!D10</f>
        <v>0</v>
      </c>
      <c r="G12" s="47">
        <f>Sizes!E10</f>
        <v>0</v>
      </c>
      <c r="H12" s="48"/>
      <c r="J12" s="46">
        <v>3</v>
      </c>
      <c r="K12" s="47">
        <f>Sizes!I10</f>
        <v>0</v>
      </c>
      <c r="L12" s="47">
        <f>Sizes!J10</f>
        <v>0</v>
      </c>
      <c r="M12" s="47">
        <f>Sizes!K10</f>
        <v>0</v>
      </c>
      <c r="N12" s="48"/>
    </row>
    <row r="13" spans="1:15" ht="15.75" customHeight="1" x14ac:dyDescent="0.2">
      <c r="D13" s="46">
        <v>4</v>
      </c>
      <c r="E13" s="47">
        <f>Sizes!C11</f>
        <v>0</v>
      </c>
      <c r="F13" s="47">
        <f>Sizes!D11</f>
        <v>0</v>
      </c>
      <c r="G13" s="47">
        <f>Sizes!E11</f>
        <v>0</v>
      </c>
      <c r="H13" s="48"/>
      <c r="J13" s="46">
        <v>4</v>
      </c>
      <c r="K13" s="47">
        <f>Sizes!I11</f>
        <v>0</v>
      </c>
      <c r="L13" s="47">
        <f>Sizes!J11</f>
        <v>0</v>
      </c>
      <c r="M13" s="47">
        <f>Sizes!K11</f>
        <v>0</v>
      </c>
      <c r="N13" s="48"/>
    </row>
    <row r="14" spans="1:15" ht="15.75" customHeight="1" x14ac:dyDescent="0.2">
      <c r="D14" s="46">
        <v>5</v>
      </c>
      <c r="E14" s="47">
        <f>Sizes!C12</f>
        <v>0</v>
      </c>
      <c r="F14" s="47">
        <f>Sizes!D12</f>
        <v>0</v>
      </c>
      <c r="G14" s="47">
        <f>Sizes!E12</f>
        <v>0</v>
      </c>
      <c r="H14" s="48"/>
      <c r="J14" s="46">
        <v>5</v>
      </c>
      <c r="K14" s="47">
        <f>Sizes!I12</f>
        <v>0</v>
      </c>
      <c r="L14" s="47">
        <f>Sizes!J12</f>
        <v>0</v>
      </c>
      <c r="M14" s="47">
        <f>Sizes!K12</f>
        <v>0</v>
      </c>
      <c r="N14" s="48"/>
    </row>
    <row r="15" spans="1:15" ht="15.75" customHeight="1" x14ac:dyDescent="0.2">
      <c r="D15" s="46">
        <v>6</v>
      </c>
      <c r="E15" s="47">
        <f>Sizes!C13</f>
        <v>0</v>
      </c>
      <c r="F15" s="47">
        <f>Sizes!D13</f>
        <v>0</v>
      </c>
      <c r="G15" s="47">
        <f>Sizes!E13</f>
        <v>0</v>
      </c>
      <c r="H15" s="48"/>
      <c r="J15" s="46">
        <v>6</v>
      </c>
      <c r="K15" s="47">
        <f>Sizes!I13</f>
        <v>0</v>
      </c>
      <c r="L15" s="47">
        <f>Sizes!J13</f>
        <v>0</v>
      </c>
      <c r="M15" s="47">
        <f>Sizes!K13</f>
        <v>0</v>
      </c>
      <c r="N15" s="48"/>
    </row>
    <row r="16" spans="1:15" ht="15.75" customHeight="1" x14ac:dyDescent="0.2">
      <c r="D16" s="46">
        <v>7</v>
      </c>
      <c r="E16" s="47">
        <f>Sizes!C14</f>
        <v>0</v>
      </c>
      <c r="F16" s="47">
        <f>Sizes!D14</f>
        <v>0</v>
      </c>
      <c r="G16" s="47">
        <f>Sizes!E14</f>
        <v>0</v>
      </c>
      <c r="H16" s="48"/>
      <c r="J16" s="46">
        <v>7</v>
      </c>
      <c r="K16" s="47">
        <f>Sizes!I14</f>
        <v>0</v>
      </c>
      <c r="L16" s="47">
        <f>Sizes!J14</f>
        <v>0</v>
      </c>
      <c r="M16" s="47">
        <f>Sizes!K14</f>
        <v>0</v>
      </c>
      <c r="N16" s="48"/>
    </row>
    <row r="17" spans="4:15" ht="15.75" customHeight="1" x14ac:dyDescent="0.2">
      <c r="D17" s="46">
        <v>8</v>
      </c>
      <c r="E17" s="47">
        <f>Sizes!C15</f>
        <v>0</v>
      </c>
      <c r="F17" s="47">
        <f>Sizes!D15</f>
        <v>0</v>
      </c>
      <c r="G17" s="47">
        <f>Sizes!E15</f>
        <v>0</v>
      </c>
      <c r="H17" s="48"/>
      <c r="J17" s="46">
        <v>8</v>
      </c>
      <c r="K17" s="47">
        <f>Sizes!I15</f>
        <v>0</v>
      </c>
      <c r="L17" s="47">
        <f>Sizes!J15</f>
        <v>0</v>
      </c>
      <c r="M17" s="47">
        <f>Sizes!K15</f>
        <v>0</v>
      </c>
      <c r="N17" s="48"/>
    </row>
    <row r="18" spans="4:15" ht="15.75" customHeight="1" x14ac:dyDescent="0.2">
      <c r="D18" s="46">
        <v>9</v>
      </c>
      <c r="E18" s="47">
        <f>Sizes!C16</f>
        <v>0</v>
      </c>
      <c r="F18" s="47">
        <f>Sizes!D16</f>
        <v>0</v>
      </c>
      <c r="G18" s="47">
        <f>Sizes!E16</f>
        <v>0</v>
      </c>
      <c r="H18" s="48"/>
      <c r="J18" s="46">
        <v>9</v>
      </c>
      <c r="K18" s="47">
        <f>Sizes!I16</f>
        <v>0</v>
      </c>
      <c r="L18" s="47">
        <f>Sizes!J16</f>
        <v>0</v>
      </c>
      <c r="M18" s="47">
        <f>Sizes!K16</f>
        <v>0</v>
      </c>
      <c r="N18" s="48"/>
    </row>
    <row r="19" spans="4:15" ht="15.75" customHeight="1" x14ac:dyDescent="0.2">
      <c r="D19" s="46">
        <v>10</v>
      </c>
      <c r="E19" s="47">
        <f>Sizes!C17</f>
        <v>0</v>
      </c>
      <c r="F19" s="47">
        <f>Sizes!D17</f>
        <v>0</v>
      </c>
      <c r="G19" s="47">
        <f>Sizes!E17</f>
        <v>0</v>
      </c>
      <c r="H19" s="48"/>
      <c r="J19" s="46">
        <v>10</v>
      </c>
      <c r="K19" s="47">
        <f>Sizes!I17</f>
        <v>0</v>
      </c>
      <c r="L19" s="47">
        <f>Sizes!J17</f>
        <v>0</v>
      </c>
      <c r="M19" s="47">
        <f>Sizes!K17</f>
        <v>0</v>
      </c>
      <c r="N19" s="48"/>
    </row>
    <row r="20" spans="4:15" ht="15.75" customHeight="1" x14ac:dyDescent="0.2">
      <c r="D20" s="46">
        <v>11</v>
      </c>
      <c r="E20" s="47">
        <f>Sizes!C18</f>
        <v>0</v>
      </c>
      <c r="F20" s="47">
        <f>Sizes!D18</f>
        <v>0</v>
      </c>
      <c r="G20" s="47">
        <f>Sizes!E18</f>
        <v>0</v>
      </c>
      <c r="H20" s="48"/>
      <c r="J20" s="46">
        <v>11</v>
      </c>
      <c r="K20" s="47">
        <f>Sizes!I18</f>
        <v>0</v>
      </c>
      <c r="L20" s="47">
        <f>Sizes!J18</f>
        <v>0</v>
      </c>
      <c r="M20" s="47">
        <f>Sizes!K18</f>
        <v>0</v>
      </c>
      <c r="N20" s="48"/>
    </row>
    <row r="21" spans="4:15" ht="15.75" customHeight="1" x14ac:dyDescent="0.2">
      <c r="D21" s="46">
        <v>12</v>
      </c>
      <c r="E21" s="47">
        <f>Sizes!C19</f>
        <v>0</v>
      </c>
      <c r="F21" s="47">
        <f>Sizes!D19</f>
        <v>0</v>
      </c>
      <c r="G21" s="47">
        <f>Sizes!E19</f>
        <v>0</v>
      </c>
      <c r="H21" s="48"/>
      <c r="J21" s="46">
        <v>12</v>
      </c>
      <c r="K21" s="47">
        <f>Sizes!I19</f>
        <v>0</v>
      </c>
      <c r="L21" s="47">
        <f>Sizes!J19</f>
        <v>0</v>
      </c>
      <c r="M21" s="47">
        <f>Sizes!K19</f>
        <v>0</v>
      </c>
      <c r="N21" s="48"/>
    </row>
    <row r="22" spans="4:15" ht="15.75" customHeight="1" x14ac:dyDescent="0.2">
      <c r="D22" s="46">
        <v>13</v>
      </c>
      <c r="E22" s="47">
        <f>Sizes!C20</f>
        <v>0</v>
      </c>
      <c r="F22" s="47">
        <f>Sizes!D20</f>
        <v>0</v>
      </c>
      <c r="G22" s="47">
        <f>Sizes!E20</f>
        <v>0</v>
      </c>
      <c r="H22" s="48"/>
      <c r="J22" s="46">
        <v>13</v>
      </c>
      <c r="K22" s="47">
        <f>Sizes!I20</f>
        <v>0</v>
      </c>
      <c r="L22" s="47">
        <f>Sizes!J20</f>
        <v>0</v>
      </c>
      <c r="M22" s="47">
        <f>Sizes!K20</f>
        <v>0</v>
      </c>
      <c r="N22" s="48"/>
    </row>
    <row r="23" spans="4:15" ht="15.75" customHeight="1" x14ac:dyDescent="0.2">
      <c r="D23" s="46">
        <v>14</v>
      </c>
      <c r="E23" s="47">
        <f>Sizes!C21</f>
        <v>0</v>
      </c>
      <c r="F23" s="47">
        <f>Sizes!D21</f>
        <v>0</v>
      </c>
      <c r="G23" s="47">
        <f>Sizes!E21</f>
        <v>0</v>
      </c>
      <c r="H23" s="48"/>
      <c r="J23" s="46">
        <v>14</v>
      </c>
      <c r="K23" s="47">
        <f>Sizes!I21</f>
        <v>0</v>
      </c>
      <c r="L23" s="47">
        <f>Sizes!J21</f>
        <v>0</v>
      </c>
      <c r="M23" s="47">
        <f>Sizes!K21</f>
        <v>0</v>
      </c>
      <c r="N23" s="48"/>
    </row>
    <row r="24" spans="4:15" ht="15.75" customHeight="1" thickBot="1" x14ac:dyDescent="0.25">
      <c r="D24" s="53">
        <v>15</v>
      </c>
      <c r="E24" s="47">
        <f>Sizes!C22</f>
        <v>0</v>
      </c>
      <c r="F24" s="47">
        <f>Sizes!D22</f>
        <v>0</v>
      </c>
      <c r="G24" s="47">
        <f>Sizes!E22</f>
        <v>0</v>
      </c>
      <c r="H24" s="48"/>
      <c r="J24" s="53">
        <v>15</v>
      </c>
      <c r="K24" s="47">
        <f>Sizes!I22</f>
        <v>0</v>
      </c>
      <c r="L24" s="47">
        <f>Sizes!J22</f>
        <v>0</v>
      </c>
      <c r="M24" s="47">
        <f>Sizes!K22</f>
        <v>0</v>
      </c>
      <c r="N24" s="48"/>
    </row>
    <row r="25" spans="4:15" ht="15.75" customHeight="1" thickBot="1" x14ac:dyDescent="0.25">
      <c r="D25" s="605" t="s">
        <v>358</v>
      </c>
      <c r="E25" s="606"/>
      <c r="F25" s="606"/>
      <c r="G25" s="607"/>
      <c r="J25" s="93" t="s">
        <v>387</v>
      </c>
      <c r="K25" s="55"/>
      <c r="L25" s="54" t="s">
        <v>171</v>
      </c>
      <c r="M25" s="191">
        <f>'ORDER FORM'!D36</f>
        <v>0</v>
      </c>
      <c r="N25" s="51"/>
    </row>
    <row r="26" spans="4:15" ht="15" customHeight="1" x14ac:dyDescent="0.2">
      <c r="D26" s="52" t="s">
        <v>519</v>
      </c>
      <c r="E26" s="52" t="s">
        <v>339</v>
      </c>
      <c r="F26" s="52" t="s">
        <v>161</v>
      </c>
      <c r="G26" s="52" t="s">
        <v>162</v>
      </c>
      <c r="H26" s="45"/>
      <c r="I26" s="104" t="s">
        <v>464</v>
      </c>
      <c r="J26" s="52" t="s">
        <v>519</v>
      </c>
      <c r="K26" s="52" t="s">
        <v>339</v>
      </c>
      <c r="L26" s="52" t="s">
        <v>161</v>
      </c>
      <c r="M26" s="52" t="s">
        <v>162</v>
      </c>
      <c r="N26" s="45"/>
      <c r="O26" s="45"/>
    </row>
    <row r="27" spans="4:15" ht="15.75" customHeight="1" x14ac:dyDescent="0.2">
      <c r="D27" s="46">
        <v>1</v>
      </c>
      <c r="E27" s="47">
        <f>Sizes!M8</f>
        <v>0</v>
      </c>
      <c r="F27" s="47">
        <f>Sizes!N8</f>
        <v>0</v>
      </c>
      <c r="G27" s="47">
        <f>Sizes!O8</f>
        <v>0</v>
      </c>
      <c r="H27" s="48"/>
      <c r="I27" s="104">
        <f>Sizes!F27</f>
        <v>0</v>
      </c>
      <c r="J27" s="46">
        <v>1</v>
      </c>
      <c r="K27" s="47">
        <f>Sizes!C27</f>
        <v>0</v>
      </c>
      <c r="L27" s="47">
        <f>Sizes!D27</f>
        <v>0</v>
      </c>
      <c r="M27" s="47">
        <f>Sizes!E27</f>
        <v>0</v>
      </c>
      <c r="N27" s="48"/>
    </row>
    <row r="28" spans="4:15" ht="15.75" customHeight="1" x14ac:dyDescent="0.2">
      <c r="D28" s="46">
        <v>2</v>
      </c>
      <c r="E28" s="47">
        <f>Sizes!M9</f>
        <v>0</v>
      </c>
      <c r="F28" s="47">
        <f>Sizes!N9</f>
        <v>0</v>
      </c>
      <c r="G28" s="47">
        <f>Sizes!O9</f>
        <v>0</v>
      </c>
      <c r="H28" s="48"/>
      <c r="I28" s="104">
        <f>Sizes!F28</f>
        <v>0</v>
      </c>
      <c r="J28" s="46">
        <v>2</v>
      </c>
      <c r="K28" s="47">
        <f>Sizes!C28</f>
        <v>0</v>
      </c>
      <c r="L28" s="47">
        <f>Sizes!D28</f>
        <v>0</v>
      </c>
      <c r="M28" s="47">
        <f>Sizes!E28</f>
        <v>0</v>
      </c>
      <c r="N28" s="48"/>
    </row>
    <row r="29" spans="4:15" ht="15.75" customHeight="1" x14ac:dyDescent="0.2">
      <c r="D29" s="46">
        <v>3</v>
      </c>
      <c r="E29" s="47">
        <f>Sizes!M10</f>
        <v>0</v>
      </c>
      <c r="F29" s="47">
        <f>Sizes!N10</f>
        <v>0</v>
      </c>
      <c r="G29" s="47">
        <f>Sizes!O10</f>
        <v>0</v>
      </c>
      <c r="H29" s="48"/>
      <c r="I29" s="104">
        <f>Sizes!F29</f>
        <v>0</v>
      </c>
      <c r="J29" s="46">
        <v>3</v>
      </c>
      <c r="K29" s="47">
        <f>Sizes!C29</f>
        <v>0</v>
      </c>
      <c r="L29" s="47">
        <f>Sizes!D29</f>
        <v>0</v>
      </c>
      <c r="M29" s="47">
        <f>Sizes!E29</f>
        <v>0</v>
      </c>
      <c r="N29" s="48"/>
    </row>
    <row r="30" spans="4:15" ht="15.75" customHeight="1" x14ac:dyDescent="0.2">
      <c r="D30" s="46">
        <v>4</v>
      </c>
      <c r="E30" s="47">
        <f>Sizes!M11</f>
        <v>0</v>
      </c>
      <c r="F30" s="47">
        <f>Sizes!N11</f>
        <v>0</v>
      </c>
      <c r="G30" s="47">
        <f>Sizes!O11</f>
        <v>0</v>
      </c>
      <c r="H30" s="48"/>
      <c r="I30" s="104">
        <f>Sizes!F30</f>
        <v>0</v>
      </c>
      <c r="J30" s="46">
        <v>4</v>
      </c>
      <c r="K30" s="47">
        <f>Sizes!C30</f>
        <v>0</v>
      </c>
      <c r="L30" s="47">
        <f>Sizes!D30</f>
        <v>0</v>
      </c>
      <c r="M30" s="47">
        <f>Sizes!E30</f>
        <v>0</v>
      </c>
      <c r="N30" s="48"/>
    </row>
    <row r="31" spans="4:15" ht="15.75" customHeight="1" x14ac:dyDescent="0.2">
      <c r="D31" s="46">
        <v>5</v>
      </c>
      <c r="E31" s="47">
        <f>Sizes!M12</f>
        <v>0</v>
      </c>
      <c r="F31" s="47">
        <f>Sizes!N12</f>
        <v>0</v>
      </c>
      <c r="G31" s="47">
        <f>Sizes!O12</f>
        <v>0</v>
      </c>
      <c r="H31" s="48"/>
      <c r="I31" s="104">
        <f>Sizes!F31</f>
        <v>0</v>
      </c>
      <c r="J31" s="46">
        <v>5</v>
      </c>
      <c r="K31" s="47">
        <f>Sizes!C31</f>
        <v>0</v>
      </c>
      <c r="L31" s="47">
        <f>Sizes!D31</f>
        <v>0</v>
      </c>
      <c r="M31" s="47">
        <f>Sizes!E31</f>
        <v>0</v>
      </c>
      <c r="N31" s="48"/>
    </row>
    <row r="32" spans="4:15" ht="15.75" customHeight="1" thickBot="1" x14ac:dyDescent="0.25">
      <c r="D32" s="46">
        <v>6</v>
      </c>
      <c r="E32" s="47">
        <f>Sizes!M13</f>
        <v>0</v>
      </c>
      <c r="F32" s="47">
        <f>Sizes!N13</f>
        <v>0</v>
      </c>
      <c r="G32" s="47">
        <f>Sizes!O13</f>
        <v>0</v>
      </c>
      <c r="H32" s="48"/>
      <c r="I32" s="104">
        <f>Sizes!F32</f>
        <v>0</v>
      </c>
      <c r="J32" s="46">
        <v>6</v>
      </c>
      <c r="K32" s="47">
        <f>Sizes!C32</f>
        <v>0</v>
      </c>
      <c r="L32" s="47">
        <f>Sizes!D32</f>
        <v>0</v>
      </c>
      <c r="M32" s="47">
        <f>Sizes!E32</f>
        <v>0</v>
      </c>
      <c r="N32" s="48"/>
    </row>
    <row r="33" spans="4:15" ht="15.75" customHeight="1" thickBot="1" x14ac:dyDescent="0.25">
      <c r="D33" s="46">
        <v>7</v>
      </c>
      <c r="E33" s="47">
        <f>Sizes!M14</f>
        <v>0</v>
      </c>
      <c r="F33" s="47">
        <f>Sizes!N14</f>
        <v>0</v>
      </c>
      <c r="G33" s="47">
        <f>Sizes!O14</f>
        <v>0</v>
      </c>
      <c r="H33" s="48"/>
      <c r="I33"/>
      <c r="J33" s="605" t="s">
        <v>518</v>
      </c>
      <c r="K33" s="610"/>
      <c r="L33" s="610"/>
      <c r="M33" s="611"/>
    </row>
    <row r="34" spans="4:15" ht="15.75" customHeight="1" x14ac:dyDescent="0.2">
      <c r="D34" s="46">
        <v>8</v>
      </c>
      <c r="E34" s="47">
        <f>Sizes!M15</f>
        <v>0</v>
      </c>
      <c r="F34" s="47">
        <f>Sizes!N15</f>
        <v>0</v>
      </c>
      <c r="G34" s="47">
        <f>Sizes!O15</f>
        <v>0</v>
      </c>
      <c r="H34" s="48"/>
      <c r="I34"/>
      <c r="J34" s="52" t="s">
        <v>519</v>
      </c>
      <c r="K34" s="52" t="s">
        <v>339</v>
      </c>
      <c r="L34" s="52" t="s">
        <v>161</v>
      </c>
      <c r="M34" s="52" t="s">
        <v>162</v>
      </c>
    </row>
    <row r="35" spans="4:15" ht="15.75" customHeight="1" x14ac:dyDescent="0.2">
      <c r="D35" s="46">
        <v>9</v>
      </c>
      <c r="E35" s="47">
        <f>Sizes!M16</f>
        <v>0</v>
      </c>
      <c r="F35" s="47">
        <f>Sizes!N16</f>
        <v>0</v>
      </c>
      <c r="G35" s="47">
        <f>Sizes!O16</f>
        <v>0</v>
      </c>
      <c r="H35" s="48"/>
      <c r="I35"/>
      <c r="J35" s="46">
        <v>1</v>
      </c>
      <c r="K35" s="47">
        <f>Sizes!M36</f>
        <v>0</v>
      </c>
      <c r="L35" s="47">
        <f>Sizes!N36</f>
        <v>0</v>
      </c>
      <c r="M35" s="47">
        <f>Sizes!O36</f>
        <v>0</v>
      </c>
      <c r="N35" s="48"/>
    </row>
    <row r="36" spans="4:15" ht="15.75" customHeight="1" thickBot="1" x14ac:dyDescent="0.25">
      <c r="D36" s="46">
        <v>10</v>
      </c>
      <c r="E36" s="47">
        <f>Sizes!M17</f>
        <v>0</v>
      </c>
      <c r="F36" s="47">
        <f>Sizes!N17</f>
        <v>0</v>
      </c>
      <c r="G36" s="47">
        <f>Sizes!O17</f>
        <v>0</v>
      </c>
      <c r="H36" s="48"/>
      <c r="I36"/>
      <c r="J36" s="46">
        <v>2</v>
      </c>
      <c r="K36" s="47">
        <f>Sizes!M37</f>
        <v>0</v>
      </c>
      <c r="L36" s="47">
        <f>Sizes!N37</f>
        <v>0</v>
      </c>
      <c r="M36" s="47">
        <f>Sizes!O37</f>
        <v>0</v>
      </c>
      <c r="N36" s="48"/>
    </row>
    <row r="37" spans="4:15" ht="15.75" customHeight="1" thickBot="1" x14ac:dyDescent="0.25">
      <c r="D37" s="605" t="s">
        <v>359</v>
      </c>
      <c r="E37" s="610"/>
      <c r="F37" s="610"/>
      <c r="G37" s="611"/>
      <c r="H37" s="48"/>
      <c r="I37"/>
      <c r="J37" s="46">
        <v>3</v>
      </c>
      <c r="K37" s="47">
        <f>Sizes!M38</f>
        <v>0</v>
      </c>
      <c r="L37" s="47">
        <f>Sizes!N38</f>
        <v>0</v>
      </c>
      <c r="M37" s="47">
        <f>Sizes!O38</f>
        <v>0</v>
      </c>
      <c r="N37" s="48"/>
    </row>
    <row r="38" spans="4:15" ht="15.75" customHeight="1" x14ac:dyDescent="0.2">
      <c r="D38" s="52" t="s">
        <v>519</v>
      </c>
      <c r="E38" s="52" t="s">
        <v>339</v>
      </c>
      <c r="F38" s="52" t="s">
        <v>161</v>
      </c>
      <c r="G38" s="52" t="s">
        <v>162</v>
      </c>
      <c r="H38" s="48"/>
      <c r="I38"/>
      <c r="J38" s="46">
        <v>4</v>
      </c>
      <c r="K38" s="47">
        <f>Sizes!M39</f>
        <v>0</v>
      </c>
      <c r="L38" s="47">
        <f>Sizes!N39</f>
        <v>0</v>
      </c>
      <c r="M38" s="47">
        <f>Sizes!O39</f>
        <v>0</v>
      </c>
      <c r="N38" s="48"/>
    </row>
    <row r="39" spans="4:15" ht="15.75" customHeight="1" x14ac:dyDescent="0.2">
      <c r="D39" s="46">
        <v>1</v>
      </c>
      <c r="E39" s="47">
        <f>Sizes!M22</f>
        <v>0</v>
      </c>
      <c r="F39" s="47">
        <f>Sizes!N22</f>
        <v>0</v>
      </c>
      <c r="G39" s="47">
        <f>Sizes!O22</f>
        <v>0</v>
      </c>
      <c r="H39" s="48"/>
      <c r="I39"/>
      <c r="J39" s="46">
        <v>5</v>
      </c>
      <c r="K39" s="47">
        <f>Sizes!M40</f>
        <v>0</v>
      </c>
      <c r="L39" s="47">
        <f>Sizes!N40</f>
        <v>0</v>
      </c>
      <c r="M39" s="47">
        <f>Sizes!O40</f>
        <v>0</v>
      </c>
      <c r="N39" s="48"/>
    </row>
    <row r="40" spans="4:15" ht="15.75" customHeight="1" x14ac:dyDescent="0.2">
      <c r="D40" s="46">
        <v>2</v>
      </c>
      <c r="E40" s="47">
        <f>Sizes!M23</f>
        <v>0</v>
      </c>
      <c r="F40" s="47">
        <f>Sizes!N23</f>
        <v>0</v>
      </c>
      <c r="G40" s="47">
        <f>Sizes!O23</f>
        <v>0</v>
      </c>
      <c r="H40" s="48"/>
      <c r="J40" s="46">
        <v>6</v>
      </c>
      <c r="K40" s="47">
        <f>Sizes!M41</f>
        <v>0</v>
      </c>
      <c r="L40" s="47">
        <f>Sizes!N41</f>
        <v>0</v>
      </c>
      <c r="M40" s="47">
        <f>Sizes!O41</f>
        <v>0</v>
      </c>
      <c r="N40" s="48"/>
    </row>
    <row r="41" spans="4:15" ht="15.75" customHeight="1" x14ac:dyDescent="0.2">
      <c r="D41" s="46">
        <v>3</v>
      </c>
      <c r="E41" s="47">
        <f>Sizes!M24</f>
        <v>0</v>
      </c>
      <c r="F41" s="47">
        <f>Sizes!N24</f>
        <v>0</v>
      </c>
      <c r="G41" s="47">
        <f>Sizes!O24</f>
        <v>0</v>
      </c>
      <c r="H41" s="48"/>
      <c r="J41" s="46">
        <v>7</v>
      </c>
      <c r="K41" s="47">
        <f>Sizes!M42</f>
        <v>0</v>
      </c>
      <c r="L41" s="47">
        <f>Sizes!N42</f>
        <v>0</v>
      </c>
      <c r="M41" s="47">
        <f>Sizes!O42</f>
        <v>0</v>
      </c>
      <c r="N41" s="48"/>
    </row>
    <row r="42" spans="4:15" ht="15.75" customHeight="1" x14ac:dyDescent="0.2">
      <c r="D42" s="46">
        <v>4</v>
      </c>
      <c r="E42" s="47">
        <f>Sizes!M25</f>
        <v>0</v>
      </c>
      <c r="F42" s="47">
        <f>Sizes!N25</f>
        <v>0</v>
      </c>
      <c r="G42" s="47">
        <f>Sizes!O25</f>
        <v>0</v>
      </c>
      <c r="H42" s="48"/>
      <c r="J42" s="46">
        <v>8</v>
      </c>
      <c r="K42" s="47">
        <f>Sizes!M43</f>
        <v>0</v>
      </c>
      <c r="L42" s="47">
        <f>Sizes!N43</f>
        <v>0</v>
      </c>
      <c r="M42" s="47">
        <f>Sizes!O43</f>
        <v>0</v>
      </c>
    </row>
    <row r="43" spans="4:15" ht="14.25" customHeight="1" x14ac:dyDescent="0.2">
      <c r="D43" s="46">
        <v>5</v>
      </c>
      <c r="E43" s="47">
        <f>Sizes!M26</f>
        <v>0</v>
      </c>
      <c r="F43" s="47">
        <f>Sizes!N26</f>
        <v>0</v>
      </c>
      <c r="G43" s="47">
        <f>Sizes!O26</f>
        <v>0</v>
      </c>
      <c r="H43" s="48"/>
      <c r="J43" s="46">
        <v>9</v>
      </c>
      <c r="K43" s="47">
        <f>Sizes!M44</f>
        <v>0</v>
      </c>
      <c r="L43" s="47">
        <f>Sizes!N44</f>
        <v>0</v>
      </c>
      <c r="M43" s="47">
        <f>Sizes!O44</f>
        <v>0</v>
      </c>
      <c r="N43" s="45"/>
      <c r="O43" s="45"/>
    </row>
    <row r="44" spans="4:15" ht="15.75" customHeight="1" x14ac:dyDescent="0.2">
      <c r="D44" s="46">
        <v>6</v>
      </c>
      <c r="E44" s="47">
        <f>Sizes!M27</f>
        <v>0</v>
      </c>
      <c r="F44" s="47">
        <f>Sizes!N27</f>
        <v>0</v>
      </c>
      <c r="G44" s="47">
        <f>Sizes!O27</f>
        <v>0</v>
      </c>
      <c r="H44" s="48"/>
      <c r="J44" s="46">
        <v>10</v>
      </c>
      <c r="K44" s="47">
        <f>Sizes!M45</f>
        <v>0</v>
      </c>
      <c r="L44" s="47">
        <f>Sizes!N45</f>
        <v>0</v>
      </c>
      <c r="M44" s="47">
        <f>Sizes!O45</f>
        <v>0</v>
      </c>
      <c r="N44" s="48"/>
    </row>
    <row r="45" spans="4:15" ht="15.75" customHeight="1" thickBot="1" x14ac:dyDescent="0.25">
      <c r="D45" s="46">
        <v>7</v>
      </c>
      <c r="E45" s="47">
        <f>Sizes!M28</f>
        <v>0</v>
      </c>
      <c r="F45" s="47">
        <f>Sizes!N28</f>
        <v>0</v>
      </c>
      <c r="G45" s="47">
        <f>Sizes!O28</f>
        <v>0</v>
      </c>
      <c r="H45" s="48"/>
      <c r="N45" s="48"/>
    </row>
    <row r="46" spans="4:15" ht="15.75" customHeight="1" x14ac:dyDescent="0.2">
      <c r="D46" s="46">
        <v>8</v>
      </c>
      <c r="E46" s="47">
        <f>Sizes!M29</f>
        <v>0</v>
      </c>
      <c r="F46" s="47">
        <f>Sizes!N29</f>
        <v>0</v>
      </c>
      <c r="G46" s="47">
        <f>Sizes!O29</f>
        <v>0</v>
      </c>
      <c r="H46" s="48"/>
      <c r="K46" s="618" t="s">
        <v>340</v>
      </c>
      <c r="L46" s="619"/>
      <c r="M46" s="620"/>
      <c r="N46" s="48"/>
    </row>
    <row r="47" spans="4:15" ht="15.75" customHeight="1" x14ac:dyDescent="0.2">
      <c r="D47" s="46">
        <v>9</v>
      </c>
      <c r="E47" s="47">
        <f>Sizes!M30</f>
        <v>0</v>
      </c>
      <c r="F47" s="47">
        <f>Sizes!N30</f>
        <v>0</v>
      </c>
      <c r="G47" s="47">
        <f>Sizes!O30</f>
        <v>0</v>
      </c>
      <c r="H47" s="48"/>
      <c r="K47" s="621" t="s">
        <v>341</v>
      </c>
      <c r="L47" s="622"/>
      <c r="M47" s="181">
        <f>'ORDER FORM'!Q60</f>
        <v>0</v>
      </c>
      <c r="N47" s="48"/>
    </row>
    <row r="48" spans="4:15" ht="15.75" customHeight="1" x14ac:dyDescent="0.2">
      <c r="D48" s="46">
        <v>10</v>
      </c>
      <c r="E48" s="47">
        <f>Sizes!M31</f>
        <v>0</v>
      </c>
      <c r="F48" s="47">
        <f>Sizes!N31</f>
        <v>0</v>
      </c>
      <c r="G48" s="47">
        <f>Sizes!O31</f>
        <v>0</v>
      </c>
      <c r="H48" s="48"/>
      <c r="K48" s="612" t="s">
        <v>342</v>
      </c>
      <c r="L48" s="613"/>
      <c r="M48" s="181">
        <f>'ORDER FORM'!Q61</f>
        <v>0</v>
      </c>
      <c r="N48" s="48"/>
    </row>
    <row r="49" spans="3:14" ht="15.75" customHeight="1" x14ac:dyDescent="0.2">
      <c r="H49" s="48"/>
      <c r="K49" s="612" t="s">
        <v>327</v>
      </c>
      <c r="L49" s="613"/>
      <c r="M49" s="181">
        <f>'ORDER FORM'!Q62</f>
        <v>0</v>
      </c>
      <c r="N49" s="48"/>
    </row>
    <row r="50" spans="3:14" ht="15.75" customHeight="1" x14ac:dyDescent="0.2">
      <c r="H50" s="48"/>
      <c r="K50" s="612" t="s">
        <v>358</v>
      </c>
      <c r="L50" s="613"/>
      <c r="M50" s="181">
        <f>'ORDER FORM'!Q63</f>
        <v>0</v>
      </c>
      <c r="N50" s="48"/>
    </row>
    <row r="51" spans="3:14" ht="15.75" customHeight="1" x14ac:dyDescent="0.2">
      <c r="H51" s="48"/>
      <c r="K51" s="182" t="s">
        <v>359</v>
      </c>
      <c r="L51" s="183"/>
      <c r="M51" s="181">
        <f>'ORDER FORM'!Q64</f>
        <v>0</v>
      </c>
      <c r="N51" s="48"/>
    </row>
    <row r="52" spans="3:14" ht="15.75" customHeight="1" thickBot="1" x14ac:dyDescent="0.25">
      <c r="H52" s="48"/>
      <c r="J52"/>
      <c r="K52" s="614" t="s">
        <v>328</v>
      </c>
      <c r="L52" s="615"/>
      <c r="M52" s="184">
        <f>'ORDER FORM'!Q65</f>
        <v>0</v>
      </c>
      <c r="N52" s="48"/>
    </row>
    <row r="53" spans="3:14" ht="15.75" customHeight="1" thickBot="1" x14ac:dyDescent="0.25">
      <c r="D53"/>
      <c r="E53"/>
      <c r="F53"/>
      <c r="G53"/>
      <c r="H53" s="48"/>
      <c r="J53"/>
      <c r="K53" s="616" t="s">
        <v>343</v>
      </c>
      <c r="L53" s="617"/>
      <c r="M53" s="185">
        <f>M47+M48+M49+M50+M51+M52</f>
        <v>0</v>
      </c>
      <c r="N53" s="48"/>
    </row>
    <row r="54" spans="3:14" ht="15.75" customHeight="1" x14ac:dyDescent="0.2">
      <c r="D54"/>
      <c r="E54"/>
      <c r="F54"/>
      <c r="G54"/>
      <c r="H54" s="48"/>
      <c r="J54"/>
      <c r="K54"/>
      <c r="L54"/>
      <c r="M54"/>
      <c r="N54" s="50"/>
    </row>
    <row r="55" spans="3:14" ht="15.75" customHeight="1" x14ac:dyDescent="0.2">
      <c r="C55"/>
      <c r="D55"/>
      <c r="E55"/>
      <c r="F55"/>
      <c r="G55"/>
      <c r="H55"/>
      <c r="J55"/>
      <c r="K55"/>
      <c r="L55"/>
      <c r="M55"/>
      <c r="N55" s="48"/>
    </row>
    <row r="56" spans="3:14" ht="17.25" customHeight="1" x14ac:dyDescent="0.2">
      <c r="C56"/>
      <c r="D56"/>
      <c r="E56"/>
      <c r="F56"/>
      <c r="G56"/>
      <c r="H56"/>
      <c r="J56"/>
    </row>
    <row r="57" spans="3:14" ht="15.75" customHeight="1" x14ac:dyDescent="0.2">
      <c r="C57"/>
      <c r="D57" s="49"/>
      <c r="E57" s="56"/>
      <c r="F57" s="56"/>
      <c r="G57" s="56"/>
      <c r="H57"/>
      <c r="J57" s="49"/>
    </row>
    <row r="58" spans="3:14" ht="15.75" customHeight="1" x14ac:dyDescent="0.2">
      <c r="C58"/>
      <c r="D58" s="49"/>
      <c r="E58" s="56"/>
      <c r="F58" s="56"/>
      <c r="G58" s="56"/>
      <c r="H58"/>
      <c r="J58" s="49"/>
    </row>
    <row r="59" spans="3:14" ht="15.75" customHeight="1" x14ac:dyDescent="0.2">
      <c r="D59" s="49"/>
      <c r="E59" s="56"/>
      <c r="F59" s="56"/>
      <c r="G59" s="56"/>
      <c r="H59" s="48"/>
    </row>
    <row r="60" spans="3:14" ht="15.75" customHeight="1" x14ac:dyDescent="0.2">
      <c r="H60" s="48"/>
    </row>
    <row r="61" spans="3:14" ht="15.75" customHeight="1" x14ac:dyDescent="0.2">
      <c r="H61" s="48"/>
    </row>
    <row r="65" spans="11:13" ht="15.75" customHeight="1" x14ac:dyDescent="0.2">
      <c r="K65" s="59"/>
      <c r="L65" s="59"/>
      <c r="M65" s="58"/>
    </row>
    <row r="66" spans="11:13" ht="15.75" customHeight="1" x14ac:dyDescent="0.2">
      <c r="K66" s="57"/>
      <c r="L66" s="57"/>
      <c r="M66" s="58"/>
    </row>
  </sheetData>
  <sheetProtection password="CA8A" sheet="1" objects="1" scenarios="1"/>
  <mergeCells count="24">
    <mergeCell ref="D37:G37"/>
    <mergeCell ref="J33:M33"/>
    <mergeCell ref="K49:L49"/>
    <mergeCell ref="K52:L52"/>
    <mergeCell ref="K53:L53"/>
    <mergeCell ref="K46:M46"/>
    <mergeCell ref="K47:L47"/>
    <mergeCell ref="K48:L48"/>
    <mergeCell ref="K50:L50"/>
    <mergeCell ref="J8:K8"/>
    <mergeCell ref="D5:E5"/>
    <mergeCell ref="D25:G25"/>
    <mergeCell ref="D8:E8"/>
    <mergeCell ref="F1:G1"/>
    <mergeCell ref="F6:G6"/>
    <mergeCell ref="L6:M6"/>
    <mergeCell ref="F5:G5"/>
    <mergeCell ref="F4:G4"/>
    <mergeCell ref="A2:B3"/>
    <mergeCell ref="A4:B4"/>
    <mergeCell ref="F2:G2"/>
    <mergeCell ref="F3:G3"/>
    <mergeCell ref="J5:K5"/>
    <mergeCell ref="L5:M5"/>
  </mergeCells>
  <phoneticPr fontId="0" type="noConversion"/>
  <pageMargins left="0.5" right="0.5" top="0.60000000000000009" bottom="0.60000000000000009" header="0" footer="0"/>
  <pageSetup scale="76" orientation="portrait" r:id="rId1"/>
  <extLst>
    <ext xmlns:mx="http://schemas.microsoft.com/office/mac/excel/2008/main" uri="{64002731-A6B0-56B0-2670-7721B7C09600}">
      <mx:PLV Mode="1"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O46"/>
  <sheetViews>
    <sheetView showRuler="0" workbookViewId="0">
      <selection activeCell="P28" sqref="P28"/>
    </sheetView>
  </sheetViews>
  <sheetFormatPr baseColWidth="10" defaultColWidth="11.5" defaultRowHeight="13" x14ac:dyDescent="0.15"/>
  <cols>
    <col min="1" max="1" width="4.1640625" customWidth="1"/>
    <col min="2" max="2" width="6.33203125" customWidth="1"/>
    <col min="4" max="4" width="6.5" style="113" customWidth="1"/>
    <col min="5" max="5" width="6.83203125" customWidth="1"/>
    <col min="6" max="6" width="7.6640625" customWidth="1"/>
    <col min="7" max="7" width="2.6640625" customWidth="1"/>
    <col min="8" max="9" width="6.83203125" customWidth="1"/>
    <col min="10" max="10" width="3.6640625" customWidth="1"/>
    <col min="11" max="11" width="6.83203125" customWidth="1"/>
    <col min="12" max="12" width="7.33203125" customWidth="1"/>
    <col min="13" max="13" width="3.6640625" customWidth="1"/>
    <col min="14" max="15" width="7.33203125" customWidth="1"/>
  </cols>
  <sheetData>
    <row r="1" spans="1:15" ht="30" customHeight="1" x14ac:dyDescent="0.15">
      <c r="A1" s="625" t="s">
        <v>613</v>
      </c>
      <c r="B1" s="625"/>
      <c r="C1" s="625"/>
      <c r="D1" s="625"/>
      <c r="E1" s="625"/>
      <c r="F1" s="625"/>
      <c r="G1" s="625"/>
      <c r="H1" s="625"/>
      <c r="I1" s="625"/>
      <c r="J1" s="625"/>
      <c r="K1" s="625"/>
      <c r="L1" s="625"/>
    </row>
    <row r="3" spans="1:15" x14ac:dyDescent="0.15">
      <c r="H3" s="623" t="s">
        <v>1</v>
      </c>
      <c r="I3" s="594"/>
      <c r="K3" s="626" t="s">
        <v>599</v>
      </c>
      <c r="L3" s="626"/>
      <c r="N3" s="623" t="s">
        <v>2</v>
      </c>
      <c r="O3" s="594"/>
    </row>
    <row r="4" spans="1:15" ht="23" customHeight="1" x14ac:dyDescent="0.15">
      <c r="C4" t="s">
        <v>388</v>
      </c>
      <c r="D4" s="105" t="s">
        <v>221</v>
      </c>
      <c r="E4" s="105" t="s">
        <v>402</v>
      </c>
      <c r="F4" s="105" t="s">
        <v>403</v>
      </c>
      <c r="G4" s="17"/>
      <c r="H4" s="105" t="s">
        <v>404</v>
      </c>
      <c r="I4" s="105" t="s">
        <v>400</v>
      </c>
      <c r="J4" s="17"/>
      <c r="K4" s="105" t="s">
        <v>413</v>
      </c>
      <c r="L4" s="105" t="s">
        <v>598</v>
      </c>
      <c r="N4" s="105" t="s">
        <v>404</v>
      </c>
      <c r="O4" s="105" t="s">
        <v>598</v>
      </c>
    </row>
    <row r="5" spans="1:15" x14ac:dyDescent="0.15">
      <c r="A5" s="487" t="s">
        <v>190</v>
      </c>
      <c r="B5" t="s">
        <v>255</v>
      </c>
      <c r="C5" t="s">
        <v>389</v>
      </c>
      <c r="D5" s="113">
        <v>-4</v>
      </c>
      <c r="E5" s="106">
        <v>80</v>
      </c>
      <c r="F5" s="106">
        <v>94</v>
      </c>
      <c r="G5" s="106"/>
      <c r="H5" s="106">
        <v>93</v>
      </c>
      <c r="I5" s="106">
        <v>93</v>
      </c>
      <c r="J5" s="106"/>
      <c r="K5" s="106">
        <v>61</v>
      </c>
      <c r="L5" s="106">
        <v>93</v>
      </c>
      <c r="N5" s="106">
        <v>93</v>
      </c>
      <c r="O5" s="106">
        <v>93</v>
      </c>
    </row>
    <row r="6" spans="1:15" x14ac:dyDescent="0.15">
      <c r="A6" s="487"/>
      <c r="B6" t="s">
        <v>256</v>
      </c>
      <c r="C6" t="s">
        <v>546</v>
      </c>
      <c r="D6" s="149">
        <v>-4</v>
      </c>
      <c r="E6" s="106">
        <v>80</v>
      </c>
      <c r="F6" s="106">
        <v>114</v>
      </c>
      <c r="G6" s="106"/>
      <c r="H6" s="106">
        <v>93</v>
      </c>
      <c r="I6" s="106">
        <v>93</v>
      </c>
      <c r="J6" s="106"/>
      <c r="K6" s="106">
        <v>61</v>
      </c>
      <c r="L6" s="106">
        <v>93</v>
      </c>
      <c r="N6" s="106">
        <v>93</v>
      </c>
      <c r="O6" s="106">
        <v>93</v>
      </c>
    </row>
    <row r="7" spans="1:15" x14ac:dyDescent="0.15">
      <c r="A7" s="487"/>
      <c r="B7" t="s">
        <v>257</v>
      </c>
      <c r="C7" t="s">
        <v>547</v>
      </c>
      <c r="D7" s="149">
        <v>-4</v>
      </c>
      <c r="E7" s="106">
        <v>80</v>
      </c>
      <c r="F7" s="106">
        <v>114</v>
      </c>
      <c r="G7" s="106"/>
      <c r="H7" s="106">
        <v>93</v>
      </c>
      <c r="I7" s="106">
        <v>93</v>
      </c>
      <c r="J7" s="106"/>
      <c r="K7" s="106">
        <v>61</v>
      </c>
      <c r="L7" s="106">
        <v>93</v>
      </c>
      <c r="N7" s="106">
        <v>93</v>
      </c>
      <c r="O7" s="106">
        <v>93</v>
      </c>
    </row>
    <row r="8" spans="1:15" x14ac:dyDescent="0.15">
      <c r="A8" s="487"/>
      <c r="B8" t="s">
        <v>258</v>
      </c>
      <c r="C8" t="s">
        <v>548</v>
      </c>
      <c r="D8" s="149">
        <v>-4</v>
      </c>
      <c r="E8" s="106">
        <v>118</v>
      </c>
      <c r="F8" s="106">
        <v>132</v>
      </c>
      <c r="G8" s="106"/>
      <c r="H8" s="106">
        <v>131</v>
      </c>
      <c r="I8" s="106">
        <v>131</v>
      </c>
      <c r="J8" s="106"/>
      <c r="K8" s="106">
        <v>61</v>
      </c>
      <c r="L8" s="106">
        <v>131</v>
      </c>
      <c r="N8" s="106">
        <v>131</v>
      </c>
      <c r="O8" s="106">
        <v>131</v>
      </c>
    </row>
    <row r="9" spans="1:15" x14ac:dyDescent="0.15">
      <c r="A9" s="487"/>
      <c r="B9" t="s">
        <v>259</v>
      </c>
      <c r="C9" t="s">
        <v>549</v>
      </c>
      <c r="D9" s="149">
        <v>-4</v>
      </c>
      <c r="E9" s="106">
        <v>118</v>
      </c>
      <c r="F9" s="106">
        <v>152</v>
      </c>
      <c r="G9" s="106"/>
      <c r="H9" s="106">
        <v>131</v>
      </c>
      <c r="I9" s="106">
        <v>131</v>
      </c>
      <c r="J9" s="106"/>
      <c r="K9" s="106">
        <v>61</v>
      </c>
      <c r="L9" s="106">
        <v>131</v>
      </c>
      <c r="N9" s="106">
        <v>131</v>
      </c>
      <c r="O9" s="106">
        <v>131</v>
      </c>
    </row>
    <row r="10" spans="1:15" x14ac:dyDescent="0.15">
      <c r="A10" s="487"/>
      <c r="B10" t="s">
        <v>197</v>
      </c>
      <c r="C10" t="s">
        <v>550</v>
      </c>
      <c r="D10" s="149">
        <v>-4</v>
      </c>
      <c r="E10" s="106">
        <v>118</v>
      </c>
      <c r="F10" s="106">
        <v>152</v>
      </c>
      <c r="G10" s="106"/>
      <c r="H10" s="106">
        <v>131</v>
      </c>
      <c r="I10" s="106">
        <v>131</v>
      </c>
      <c r="J10" s="106"/>
      <c r="K10" s="106">
        <v>61</v>
      </c>
      <c r="L10" s="106">
        <v>131</v>
      </c>
      <c r="N10" s="106">
        <v>131</v>
      </c>
      <c r="O10" s="106">
        <v>131</v>
      </c>
    </row>
    <row r="11" spans="1:15" x14ac:dyDescent="0.15">
      <c r="A11" s="487"/>
      <c r="B11" t="s">
        <v>260</v>
      </c>
      <c r="C11" t="s">
        <v>547</v>
      </c>
      <c r="D11" s="149">
        <v>-4</v>
      </c>
      <c r="E11" s="106">
        <v>80</v>
      </c>
      <c r="F11" s="106">
        <v>114</v>
      </c>
      <c r="G11" s="106"/>
      <c r="H11" s="106">
        <v>93</v>
      </c>
      <c r="I11" s="106">
        <v>93</v>
      </c>
      <c r="J11" s="106"/>
      <c r="K11" s="106">
        <v>61</v>
      </c>
      <c r="L11" s="106">
        <v>93</v>
      </c>
      <c r="N11" s="106">
        <v>93</v>
      </c>
      <c r="O11" s="106">
        <v>93</v>
      </c>
    </row>
    <row r="12" spans="1:15" x14ac:dyDescent="0.15">
      <c r="A12" s="487"/>
      <c r="B12" t="s">
        <v>198</v>
      </c>
      <c r="C12" t="s">
        <v>550</v>
      </c>
      <c r="D12" s="149">
        <v>-4</v>
      </c>
      <c r="E12" s="106">
        <v>118</v>
      </c>
      <c r="F12" s="106">
        <v>152</v>
      </c>
      <c r="G12" s="106"/>
      <c r="H12" s="106">
        <v>131</v>
      </c>
      <c r="I12" s="106">
        <v>131</v>
      </c>
      <c r="J12" s="106"/>
      <c r="K12" s="106">
        <v>61</v>
      </c>
      <c r="L12" s="106">
        <v>131</v>
      </c>
      <c r="N12" s="106">
        <v>131</v>
      </c>
      <c r="O12" s="106">
        <v>131</v>
      </c>
    </row>
    <row r="13" spans="1:15" x14ac:dyDescent="0.15">
      <c r="A13" s="487"/>
      <c r="B13" t="s">
        <v>261</v>
      </c>
      <c r="C13" t="s">
        <v>389</v>
      </c>
      <c r="D13" s="149">
        <v>-4</v>
      </c>
      <c r="E13" s="106">
        <v>80</v>
      </c>
      <c r="F13" s="106">
        <v>94</v>
      </c>
      <c r="G13" s="106"/>
      <c r="H13" s="106">
        <v>89</v>
      </c>
      <c r="I13" s="106">
        <v>89</v>
      </c>
      <c r="J13" s="106"/>
      <c r="K13" s="106">
        <v>57</v>
      </c>
      <c r="L13" s="106">
        <v>89</v>
      </c>
      <c r="N13" s="106">
        <v>89</v>
      </c>
      <c r="O13" s="106">
        <v>89</v>
      </c>
    </row>
    <row r="14" spans="1:15" x14ac:dyDescent="0.15">
      <c r="A14" s="487"/>
      <c r="B14" t="s">
        <v>438</v>
      </c>
      <c r="C14" t="s">
        <v>548</v>
      </c>
      <c r="D14" s="149">
        <v>-4</v>
      </c>
      <c r="E14" s="106">
        <v>146</v>
      </c>
      <c r="F14" s="106">
        <v>132</v>
      </c>
      <c r="G14" s="106"/>
      <c r="H14" s="106">
        <v>157</v>
      </c>
      <c r="I14" s="106">
        <v>157</v>
      </c>
      <c r="J14" s="106"/>
      <c r="K14" s="106">
        <v>86</v>
      </c>
      <c r="L14" s="106">
        <v>157</v>
      </c>
      <c r="N14" s="106">
        <v>157</v>
      </c>
      <c r="O14" s="106">
        <v>157</v>
      </c>
    </row>
    <row r="15" spans="1:15" x14ac:dyDescent="0.15">
      <c r="A15" s="487"/>
      <c r="B15" t="s">
        <v>524</v>
      </c>
      <c r="C15" t="s">
        <v>389</v>
      </c>
      <c r="D15" s="149">
        <v>-4</v>
      </c>
      <c r="E15" s="106">
        <v>74</v>
      </c>
      <c r="F15" s="106">
        <v>94</v>
      </c>
      <c r="G15" s="106"/>
      <c r="H15" s="106">
        <v>85</v>
      </c>
      <c r="I15" s="106">
        <v>85</v>
      </c>
      <c r="J15" s="106"/>
      <c r="K15" s="106">
        <v>53</v>
      </c>
      <c r="L15" s="106">
        <v>85</v>
      </c>
      <c r="N15" s="106">
        <v>85</v>
      </c>
      <c r="O15" s="106">
        <v>85</v>
      </c>
    </row>
    <row r="16" spans="1:15" x14ac:dyDescent="0.15">
      <c r="A16" s="487"/>
      <c r="B16" t="s">
        <v>525</v>
      </c>
      <c r="C16" t="s">
        <v>551</v>
      </c>
      <c r="D16" s="149">
        <v>-4</v>
      </c>
      <c r="E16" s="106">
        <v>112</v>
      </c>
      <c r="F16" s="106">
        <v>132</v>
      </c>
      <c r="G16" s="106"/>
      <c r="H16" s="106">
        <v>125</v>
      </c>
      <c r="I16" s="106">
        <v>125</v>
      </c>
      <c r="J16" s="106"/>
      <c r="K16" s="106">
        <v>61</v>
      </c>
      <c r="L16" s="106">
        <v>125</v>
      </c>
      <c r="N16" s="106">
        <v>125</v>
      </c>
      <c r="O16" s="106">
        <v>125</v>
      </c>
    </row>
    <row r="17" spans="1:15" x14ac:dyDescent="0.15">
      <c r="A17" s="487"/>
      <c r="B17" t="s">
        <v>526</v>
      </c>
      <c r="C17" t="s">
        <v>389</v>
      </c>
      <c r="D17" s="149">
        <v>-4</v>
      </c>
      <c r="E17" s="106">
        <v>76</v>
      </c>
      <c r="F17" s="106">
        <v>94</v>
      </c>
      <c r="G17" s="106"/>
      <c r="H17" s="106">
        <v>85</v>
      </c>
      <c r="I17" s="106">
        <v>85</v>
      </c>
      <c r="J17" s="106"/>
      <c r="K17" s="106">
        <v>53</v>
      </c>
      <c r="L17" s="106">
        <v>85</v>
      </c>
      <c r="N17" s="106">
        <v>85</v>
      </c>
      <c r="O17" s="106">
        <v>85</v>
      </c>
    </row>
    <row r="18" spans="1:15" x14ac:dyDescent="0.15">
      <c r="A18" s="487"/>
      <c r="B18" t="s">
        <v>527</v>
      </c>
      <c r="C18" t="s">
        <v>551</v>
      </c>
      <c r="D18" s="149">
        <v>-4</v>
      </c>
      <c r="E18" s="106">
        <v>116</v>
      </c>
      <c r="F18" s="106">
        <v>132</v>
      </c>
      <c r="G18" s="106"/>
      <c r="H18" s="106">
        <v>123</v>
      </c>
      <c r="I18" s="106">
        <v>123</v>
      </c>
      <c r="J18" s="106"/>
      <c r="K18" s="106">
        <v>53</v>
      </c>
      <c r="L18" s="106">
        <v>123</v>
      </c>
      <c r="N18" s="106">
        <v>123</v>
      </c>
      <c r="O18" s="106">
        <v>123</v>
      </c>
    </row>
    <row r="19" spans="1:15" x14ac:dyDescent="0.15">
      <c r="A19" s="487"/>
      <c r="B19" t="s">
        <v>439</v>
      </c>
      <c r="C19" t="s">
        <v>548</v>
      </c>
      <c r="D19" s="149">
        <v>-4</v>
      </c>
      <c r="E19" s="106">
        <v>105</v>
      </c>
      <c r="F19" s="106">
        <v>132</v>
      </c>
      <c r="G19" s="106"/>
      <c r="H19" s="106">
        <v>116</v>
      </c>
      <c r="I19" s="106">
        <v>116</v>
      </c>
      <c r="J19" s="106"/>
      <c r="K19" s="106">
        <v>66</v>
      </c>
      <c r="L19" s="106">
        <v>116</v>
      </c>
      <c r="N19" s="106">
        <v>116</v>
      </c>
      <c r="O19" s="106">
        <v>116</v>
      </c>
    </row>
    <row r="20" spans="1:15" x14ac:dyDescent="0.15">
      <c r="A20" s="487"/>
      <c r="B20" t="s">
        <v>529</v>
      </c>
      <c r="C20" t="s">
        <v>401</v>
      </c>
      <c r="D20" s="149">
        <v>-4</v>
      </c>
      <c r="E20" s="106">
        <v>112</v>
      </c>
      <c r="F20" s="106">
        <v>152</v>
      </c>
      <c r="G20" s="106"/>
      <c r="H20" s="106">
        <v>125</v>
      </c>
      <c r="I20" s="106">
        <v>125</v>
      </c>
      <c r="J20" s="106"/>
      <c r="K20" s="106">
        <v>66</v>
      </c>
      <c r="L20" s="106">
        <v>125</v>
      </c>
      <c r="N20" s="106">
        <v>125</v>
      </c>
      <c r="O20" s="106">
        <v>125</v>
      </c>
    </row>
    <row r="21" spans="1:15" x14ac:dyDescent="0.15">
      <c r="A21" s="487"/>
      <c r="B21" t="s">
        <v>530</v>
      </c>
      <c r="C21" t="s">
        <v>548</v>
      </c>
      <c r="D21" s="149">
        <v>-4</v>
      </c>
      <c r="E21" s="106">
        <v>129</v>
      </c>
      <c r="F21" s="106">
        <v>132</v>
      </c>
      <c r="G21" s="106"/>
      <c r="H21" s="106">
        <v>140</v>
      </c>
      <c r="I21" s="106">
        <v>140</v>
      </c>
      <c r="J21" s="106"/>
      <c r="K21" s="106">
        <v>66</v>
      </c>
      <c r="L21" s="106">
        <v>140</v>
      </c>
      <c r="N21" s="106">
        <v>140</v>
      </c>
      <c r="O21" s="106">
        <v>140</v>
      </c>
    </row>
    <row r="22" spans="1:15" x14ac:dyDescent="0.15">
      <c r="A22" s="487"/>
      <c r="B22" t="s">
        <v>440</v>
      </c>
      <c r="C22" t="s">
        <v>550</v>
      </c>
      <c r="D22" s="149">
        <v>-4</v>
      </c>
      <c r="E22" s="106">
        <v>112</v>
      </c>
      <c r="F22" s="106">
        <v>152</v>
      </c>
      <c r="G22" s="106"/>
      <c r="H22" s="106">
        <v>125</v>
      </c>
      <c r="I22" s="106">
        <v>125</v>
      </c>
      <c r="J22" s="106"/>
      <c r="K22" s="106">
        <v>66</v>
      </c>
      <c r="L22" s="106">
        <v>125</v>
      </c>
      <c r="N22" s="106">
        <v>125</v>
      </c>
      <c r="O22" s="106">
        <v>125</v>
      </c>
    </row>
    <row r="23" spans="1:15" x14ac:dyDescent="0.15">
      <c r="A23" s="487"/>
      <c r="B23" t="s">
        <v>55</v>
      </c>
      <c r="C23" t="s">
        <v>547</v>
      </c>
      <c r="D23" s="149">
        <v>-4</v>
      </c>
      <c r="E23" s="106">
        <v>80</v>
      </c>
      <c r="F23" s="106">
        <v>114</v>
      </c>
      <c r="G23" s="106"/>
      <c r="H23" s="106">
        <v>93</v>
      </c>
      <c r="I23" s="106">
        <v>93</v>
      </c>
      <c r="J23" s="106"/>
      <c r="K23" s="106">
        <v>61</v>
      </c>
      <c r="L23" s="106">
        <v>93</v>
      </c>
      <c r="N23" s="106">
        <v>93</v>
      </c>
      <c r="O23" s="106">
        <v>93</v>
      </c>
    </row>
    <row r="24" spans="1:15" x14ac:dyDescent="0.15">
      <c r="A24" s="487"/>
      <c r="B24" t="s">
        <v>56</v>
      </c>
      <c r="C24" t="s">
        <v>547</v>
      </c>
      <c r="D24" s="149">
        <v>-4</v>
      </c>
      <c r="E24" s="106">
        <v>88</v>
      </c>
      <c r="F24" s="106">
        <v>114</v>
      </c>
      <c r="G24" s="106"/>
      <c r="H24" s="106">
        <v>101</v>
      </c>
      <c r="I24" s="106">
        <v>101</v>
      </c>
      <c r="J24" s="106"/>
      <c r="K24" s="106">
        <v>61</v>
      </c>
      <c r="L24" s="106">
        <v>101</v>
      </c>
      <c r="N24" s="106">
        <v>101</v>
      </c>
      <c r="O24" s="106">
        <v>101</v>
      </c>
    </row>
    <row r="25" spans="1:15" x14ac:dyDescent="0.15">
      <c r="A25" s="487"/>
      <c r="B25" t="s">
        <v>441</v>
      </c>
      <c r="C25" t="s">
        <v>76</v>
      </c>
      <c r="D25" s="113">
        <v>-3</v>
      </c>
      <c r="E25" s="149">
        <v>-3</v>
      </c>
      <c r="F25" s="106">
        <v>0</v>
      </c>
      <c r="G25" s="106"/>
      <c r="H25" s="106">
        <v>126</v>
      </c>
      <c r="I25" s="106">
        <v>126</v>
      </c>
      <c r="J25" s="106"/>
      <c r="K25" s="106">
        <v>66</v>
      </c>
      <c r="L25" s="106">
        <v>66</v>
      </c>
      <c r="N25" s="106">
        <v>126</v>
      </c>
      <c r="O25" s="106">
        <v>126</v>
      </c>
    </row>
    <row r="26" spans="1:15" x14ac:dyDescent="0.15">
      <c r="A26" s="487"/>
      <c r="B26" t="s">
        <v>567</v>
      </c>
      <c r="C26" t="s">
        <v>141</v>
      </c>
      <c r="D26" s="113">
        <v>-3</v>
      </c>
      <c r="E26" s="149">
        <v>-3</v>
      </c>
      <c r="F26" s="106">
        <v>0</v>
      </c>
      <c r="G26" s="106"/>
      <c r="H26" s="106">
        <v>94</v>
      </c>
      <c r="I26" s="106">
        <v>94</v>
      </c>
      <c r="J26" s="106"/>
      <c r="K26" s="106">
        <v>94</v>
      </c>
      <c r="L26" s="106">
        <v>94</v>
      </c>
      <c r="N26" s="106">
        <v>94</v>
      </c>
      <c r="O26" s="106">
        <v>94</v>
      </c>
    </row>
    <row r="27" spans="1:15" x14ac:dyDescent="0.15">
      <c r="A27" s="487"/>
      <c r="B27" t="s">
        <v>482</v>
      </c>
      <c r="C27" t="s">
        <v>77</v>
      </c>
      <c r="D27" s="113">
        <v>-3</v>
      </c>
      <c r="E27" s="149">
        <v>-3</v>
      </c>
      <c r="F27" s="106">
        <v>0</v>
      </c>
      <c r="G27" s="106"/>
      <c r="H27" s="106">
        <v>66</v>
      </c>
      <c r="I27" s="106">
        <v>66</v>
      </c>
      <c r="J27" s="106"/>
      <c r="K27" s="106">
        <v>66</v>
      </c>
      <c r="L27" s="106">
        <v>66</v>
      </c>
      <c r="N27" s="106">
        <v>66</v>
      </c>
      <c r="O27" s="106">
        <v>66</v>
      </c>
    </row>
    <row r="28" spans="1:15" x14ac:dyDescent="0.15">
      <c r="A28" s="487"/>
      <c r="B28" t="s">
        <v>420</v>
      </c>
      <c r="C28" t="s">
        <v>76</v>
      </c>
      <c r="D28" s="113">
        <v>-5</v>
      </c>
      <c r="E28" s="149">
        <v>-5</v>
      </c>
      <c r="F28" s="106">
        <v>0</v>
      </c>
      <c r="G28" s="106"/>
      <c r="H28" s="106">
        <v>122</v>
      </c>
      <c r="I28" s="106">
        <v>122</v>
      </c>
      <c r="J28" s="106"/>
      <c r="K28" s="106">
        <v>62</v>
      </c>
      <c r="L28" s="106">
        <v>62</v>
      </c>
      <c r="N28" s="106">
        <v>122</v>
      </c>
      <c r="O28" s="106">
        <v>122</v>
      </c>
    </row>
    <row r="29" spans="1:15" x14ac:dyDescent="0.15">
      <c r="A29" s="487"/>
      <c r="B29" t="s">
        <v>421</v>
      </c>
      <c r="C29" t="s">
        <v>141</v>
      </c>
      <c r="D29" s="113">
        <v>-5</v>
      </c>
      <c r="E29" s="149">
        <v>-5</v>
      </c>
      <c r="F29" s="106">
        <v>0</v>
      </c>
      <c r="G29" s="106"/>
      <c r="H29" s="106">
        <v>90</v>
      </c>
      <c r="I29" s="106">
        <v>90</v>
      </c>
      <c r="J29" s="106"/>
      <c r="K29" s="106">
        <v>90</v>
      </c>
      <c r="L29" s="106">
        <v>90</v>
      </c>
      <c r="N29" s="106">
        <v>90</v>
      </c>
      <c r="O29" s="106">
        <v>90</v>
      </c>
    </row>
    <row r="30" spans="1:15" x14ac:dyDescent="0.15">
      <c r="A30" s="487"/>
      <c r="B30" t="s">
        <v>422</v>
      </c>
      <c r="C30" t="s">
        <v>77</v>
      </c>
      <c r="D30" s="113">
        <v>-5</v>
      </c>
      <c r="E30" s="149">
        <v>-5</v>
      </c>
      <c r="F30" s="106">
        <v>0</v>
      </c>
      <c r="G30" s="106"/>
      <c r="H30" s="106">
        <v>62</v>
      </c>
      <c r="I30" s="106">
        <v>62</v>
      </c>
      <c r="J30" s="106"/>
      <c r="K30" s="106">
        <v>62</v>
      </c>
      <c r="L30" s="106">
        <v>62</v>
      </c>
      <c r="N30" s="106">
        <v>62</v>
      </c>
      <c r="O30" s="106">
        <v>62</v>
      </c>
    </row>
    <row r="31" spans="1:15" x14ac:dyDescent="0.15">
      <c r="A31" s="487"/>
      <c r="B31" t="s">
        <v>423</v>
      </c>
      <c r="C31" t="s">
        <v>76</v>
      </c>
      <c r="D31" s="113">
        <v>-5</v>
      </c>
      <c r="E31" s="149">
        <v>-5</v>
      </c>
      <c r="F31" s="106">
        <v>0</v>
      </c>
      <c r="G31" s="106"/>
      <c r="H31" s="106">
        <v>124</v>
      </c>
      <c r="I31" s="106">
        <v>124</v>
      </c>
      <c r="J31" s="106"/>
      <c r="K31" s="106">
        <v>64</v>
      </c>
      <c r="L31" s="106">
        <v>64</v>
      </c>
      <c r="N31" s="106">
        <v>124</v>
      </c>
      <c r="O31" s="106">
        <v>124</v>
      </c>
    </row>
    <row r="32" spans="1:15" x14ac:dyDescent="0.15">
      <c r="A32" s="487"/>
      <c r="B32" t="s">
        <v>424</v>
      </c>
      <c r="C32" t="s">
        <v>141</v>
      </c>
      <c r="D32" s="113">
        <v>-5</v>
      </c>
      <c r="E32" s="149">
        <v>-5</v>
      </c>
      <c r="F32" s="106">
        <v>0</v>
      </c>
      <c r="G32" s="106"/>
      <c r="H32" s="106">
        <v>92</v>
      </c>
      <c r="I32" s="106">
        <v>92</v>
      </c>
      <c r="J32" s="106"/>
      <c r="K32" s="106">
        <v>92</v>
      </c>
      <c r="L32" s="106">
        <v>92</v>
      </c>
      <c r="N32" s="106">
        <v>92</v>
      </c>
      <c r="O32" s="106">
        <v>92</v>
      </c>
    </row>
    <row r="33" spans="1:15" x14ac:dyDescent="0.15">
      <c r="A33" s="487"/>
      <c r="B33" t="s">
        <v>483</v>
      </c>
      <c r="C33" t="s">
        <v>77</v>
      </c>
      <c r="D33" s="113">
        <v>-5</v>
      </c>
      <c r="E33" s="149">
        <v>-5</v>
      </c>
      <c r="F33" s="106">
        <v>0</v>
      </c>
      <c r="G33" s="106"/>
      <c r="H33" s="106">
        <v>64</v>
      </c>
      <c r="I33" s="106">
        <v>64</v>
      </c>
      <c r="J33" s="106"/>
      <c r="K33" s="106">
        <v>64</v>
      </c>
      <c r="L33" s="106">
        <v>64</v>
      </c>
      <c r="N33" s="106">
        <v>64</v>
      </c>
      <c r="O33" s="106">
        <v>64</v>
      </c>
    </row>
    <row r="34" spans="1:15" x14ac:dyDescent="0.15">
      <c r="A34" s="487"/>
      <c r="B34" t="s">
        <v>614</v>
      </c>
      <c r="C34" t="s">
        <v>76</v>
      </c>
      <c r="D34" s="113">
        <v>-3</v>
      </c>
      <c r="E34" s="149">
        <v>-3</v>
      </c>
      <c r="F34" s="106">
        <v>0</v>
      </c>
      <c r="G34" s="106"/>
      <c r="H34" s="106">
        <v>126</v>
      </c>
      <c r="I34" s="106">
        <v>126</v>
      </c>
      <c r="J34" s="106"/>
      <c r="K34" s="106">
        <v>94</v>
      </c>
      <c r="L34" s="106">
        <v>94</v>
      </c>
      <c r="N34" s="106">
        <v>126</v>
      </c>
      <c r="O34" s="106">
        <v>126</v>
      </c>
    </row>
    <row r="35" spans="1:15" x14ac:dyDescent="0.15">
      <c r="A35" s="487"/>
      <c r="B35" t="s">
        <v>427</v>
      </c>
      <c r="C35" t="s">
        <v>141</v>
      </c>
      <c r="D35" s="113">
        <v>-3</v>
      </c>
      <c r="E35" s="149">
        <v>-3</v>
      </c>
      <c r="F35" s="106">
        <v>0</v>
      </c>
      <c r="G35" s="106"/>
      <c r="H35" s="106">
        <v>94</v>
      </c>
      <c r="I35" s="106">
        <v>94</v>
      </c>
      <c r="J35" s="106"/>
      <c r="K35" s="106">
        <v>94</v>
      </c>
      <c r="L35" s="106">
        <v>94</v>
      </c>
      <c r="N35" s="106">
        <v>94</v>
      </c>
      <c r="O35" s="106">
        <v>94</v>
      </c>
    </row>
    <row r="36" spans="1:15" x14ac:dyDescent="0.15">
      <c r="A36" s="117"/>
      <c r="B36" t="s">
        <v>592</v>
      </c>
      <c r="C36" t="s">
        <v>76</v>
      </c>
      <c r="D36" s="118">
        <v>-3</v>
      </c>
      <c r="E36" s="149">
        <v>-3</v>
      </c>
      <c r="F36" s="106">
        <v>0</v>
      </c>
      <c r="G36" s="106"/>
      <c r="H36" s="106">
        <v>126</v>
      </c>
      <c r="I36" s="106">
        <v>126</v>
      </c>
      <c r="J36" s="106"/>
      <c r="K36" s="106">
        <v>94</v>
      </c>
      <c r="L36" s="106">
        <v>94</v>
      </c>
      <c r="N36" s="106">
        <v>126</v>
      </c>
      <c r="O36" s="106">
        <v>126</v>
      </c>
    </row>
    <row r="37" spans="1:15" x14ac:dyDescent="0.15">
      <c r="A37" s="117"/>
      <c r="B37" t="s">
        <v>589</v>
      </c>
      <c r="C37" t="s">
        <v>141</v>
      </c>
      <c r="D37" s="118">
        <v>-3</v>
      </c>
      <c r="E37" s="149">
        <v>-3</v>
      </c>
      <c r="F37" s="106">
        <v>0</v>
      </c>
      <c r="G37" s="106"/>
      <c r="H37" s="106">
        <v>94</v>
      </c>
      <c r="I37" s="106">
        <v>94</v>
      </c>
      <c r="J37" s="106"/>
      <c r="K37" s="106">
        <v>94</v>
      </c>
      <c r="L37" s="106">
        <v>94</v>
      </c>
      <c r="N37" s="106">
        <v>94</v>
      </c>
      <c r="O37" s="106">
        <v>94</v>
      </c>
    </row>
    <row r="39" spans="1:15" x14ac:dyDescent="0.15">
      <c r="B39" s="359" t="s">
        <v>600</v>
      </c>
      <c r="C39" s="359"/>
      <c r="D39" s="115" t="e">
        <f>INDEX(D5:D37,c.stile)</f>
        <v>#VALUE!</v>
      </c>
      <c r="E39" s="94" t="e">
        <f>INDEX(E5:E37,c.stile)</f>
        <v>#VALUE!</v>
      </c>
      <c r="F39" s="94" t="e">
        <f>INDEX(F5:F37,c.stile)</f>
        <v>#VALUE!</v>
      </c>
      <c r="H39" s="94" t="e">
        <f>INDEX(H5:H37,C41)</f>
        <v>#VALUE!</v>
      </c>
      <c r="I39" s="94" t="e">
        <f>INDEX(I5:I37,C41)</f>
        <v>#VALUE!</v>
      </c>
      <c r="K39" s="94" t="e">
        <f>INDEX(K5:K37,C43)</f>
        <v>#VALUE!</v>
      </c>
      <c r="L39" s="94" t="e">
        <f>INDEX(L5:L37,C43)</f>
        <v>#VALUE!</v>
      </c>
      <c r="N39" s="94" t="e">
        <f>INDEX(N5:N37,C45)</f>
        <v>#VALUE!</v>
      </c>
      <c r="O39" s="94" t="e">
        <f>INDEX(O5:O37,C45)</f>
        <v>#VALUE!</v>
      </c>
    </row>
    <row r="40" spans="1:15" x14ac:dyDescent="0.15">
      <c r="B40" s="205" t="s">
        <v>5</v>
      </c>
      <c r="C40" s="624" t="s">
        <v>154</v>
      </c>
      <c r="D40" s="624"/>
      <c r="H40" s="216"/>
      <c r="I40" s="216"/>
      <c r="K40" s="216"/>
      <c r="L40" s="216"/>
      <c r="N40" s="216"/>
      <c r="O40" s="216"/>
    </row>
    <row r="41" spans="1:15" x14ac:dyDescent="0.15">
      <c r="B41" t="s">
        <v>222</v>
      </c>
      <c r="C41" s="114">
        <f>c.stile</f>
        <v>0</v>
      </c>
      <c r="D41" s="215"/>
      <c r="E41" s="216"/>
      <c r="F41" s="216"/>
      <c r="G41" s="216"/>
      <c r="H41" s="216"/>
      <c r="I41" s="216"/>
      <c r="K41" s="216"/>
      <c r="L41" s="216"/>
      <c r="N41" s="216"/>
      <c r="O41" s="216"/>
    </row>
    <row r="42" spans="1:15" x14ac:dyDescent="0.15">
      <c r="B42" t="s">
        <v>6</v>
      </c>
      <c r="C42">
        <f>'ORDER FORM'!R16</f>
        <v>0</v>
      </c>
      <c r="K42" s="216"/>
      <c r="L42" s="216"/>
      <c r="N42" s="216"/>
      <c r="O42" s="216"/>
    </row>
    <row r="43" spans="1:15" x14ac:dyDescent="0.15">
      <c r="B43" t="s">
        <v>9</v>
      </c>
      <c r="C43" s="211">
        <f>IF(c.style&lt;5,C41,c.df.opt)</f>
        <v>0</v>
      </c>
      <c r="D43" s="215"/>
      <c r="E43" s="216"/>
      <c r="F43" s="216"/>
      <c r="G43" s="216"/>
      <c r="H43" s="216"/>
      <c r="I43" s="216"/>
      <c r="J43" s="216"/>
      <c r="K43" s="216"/>
      <c r="L43" s="216"/>
      <c r="N43" s="216"/>
      <c r="O43" s="216"/>
    </row>
    <row r="44" spans="1:15" x14ac:dyDescent="0.15">
      <c r="B44" t="s">
        <v>7</v>
      </c>
      <c r="C44">
        <f>'ORDER FORM'!R45</f>
        <v>0</v>
      </c>
      <c r="N44" s="216"/>
      <c r="O44" s="216"/>
    </row>
    <row r="45" spans="1:15" x14ac:dyDescent="0.15">
      <c r="B45" t="s">
        <v>8</v>
      </c>
      <c r="C45" s="211">
        <f>IF(c.style&lt;5,C41,c.pp.opt)</f>
        <v>0</v>
      </c>
      <c r="D45" s="215"/>
      <c r="E45" s="216"/>
      <c r="F45" s="216"/>
      <c r="G45" s="216"/>
      <c r="H45" s="216"/>
      <c r="I45" s="216"/>
      <c r="J45" s="216"/>
      <c r="K45" s="216"/>
      <c r="L45" s="216"/>
      <c r="M45" s="216"/>
      <c r="N45" s="216"/>
      <c r="O45" s="216"/>
    </row>
    <row r="46" spans="1:15" x14ac:dyDescent="0.15">
      <c r="C46" s="211"/>
    </row>
  </sheetData>
  <sheetProtection password="CA8A" sheet="1" objects="1" scenarios="1"/>
  <mergeCells count="7">
    <mergeCell ref="N3:O3"/>
    <mergeCell ref="C40:D40"/>
    <mergeCell ref="A1:L1"/>
    <mergeCell ref="A5:A35"/>
    <mergeCell ref="K3:L3"/>
    <mergeCell ref="H3:I3"/>
    <mergeCell ref="B39:C39"/>
  </mergeCells>
  <phoneticPr fontId="20" type="noConversion"/>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dimension ref="A1:Z97"/>
  <sheetViews>
    <sheetView showGridLines="0" showRowColHeaders="0" showRuler="0" view="pageLayout" zoomScale="50" zoomScaleNormal="50" zoomScaleSheetLayoutView="75" zoomScalePageLayoutView="50" workbookViewId="0">
      <selection activeCell="B1" sqref="B1:D1"/>
    </sheetView>
  </sheetViews>
  <sheetFormatPr baseColWidth="10" defaultColWidth="9.1640625" defaultRowHeight="21" customHeight="1" x14ac:dyDescent="0.2"/>
  <cols>
    <col min="1" max="1" width="15.6640625" style="8" customWidth="1"/>
    <col min="2" max="2" width="10.5" style="8" customWidth="1"/>
    <col min="3" max="3" width="5.6640625" style="8" customWidth="1"/>
    <col min="4" max="4" width="11.33203125" style="8" customWidth="1"/>
    <col min="5" max="5" width="14.33203125" style="8" customWidth="1"/>
    <col min="6" max="6" width="5.6640625" style="8" customWidth="1"/>
    <col min="7" max="7" width="11.33203125" style="8" customWidth="1"/>
    <col min="8" max="8" width="14.33203125" style="8" customWidth="1"/>
    <col min="9" max="9" width="15.6640625" style="8" customWidth="1"/>
    <col min="10" max="10" width="15.5" style="8" hidden="1" customWidth="1"/>
    <col min="11" max="11" width="13.1640625" style="8" hidden="1" customWidth="1"/>
    <col min="12" max="12" width="13" style="8" customWidth="1"/>
    <col min="13" max="13" width="15.6640625" style="8" customWidth="1"/>
    <col min="14" max="14" width="10.6640625" style="26" customWidth="1"/>
    <col min="15" max="15" width="6.5" style="26" customWidth="1"/>
    <col min="16" max="16" width="11.33203125" style="8" customWidth="1"/>
    <col min="17" max="18" width="14.33203125" style="8" customWidth="1"/>
    <col min="19" max="19" width="12.1640625" style="8" hidden="1" customWidth="1"/>
    <col min="20" max="20" width="11.83203125" style="8" customWidth="1"/>
    <col min="21" max="21" width="13.1640625" style="8" customWidth="1"/>
    <col min="22" max="24" width="35.6640625" style="8" customWidth="1"/>
    <col min="25" max="16384" width="9.1640625" style="8"/>
  </cols>
  <sheetData>
    <row r="1" spans="1:26" ht="21" customHeight="1" x14ac:dyDescent="0.2">
      <c r="A1" s="9" t="s">
        <v>344</v>
      </c>
      <c r="B1" s="627" t="str">
        <f>'ORDER FORM'!D7</f>
        <v>Cabinetmart Inc</v>
      </c>
      <c r="C1" s="583"/>
      <c r="D1" s="583"/>
      <c r="E1" s="34"/>
      <c r="F1" s="33"/>
      <c r="N1" s="33"/>
      <c r="O1" s="33"/>
      <c r="P1" s="629" t="s">
        <v>345</v>
      </c>
      <c r="Q1" s="630"/>
      <c r="R1" s="188">
        <f>'ORDER FORM'!E4</f>
        <v>0</v>
      </c>
    </row>
    <row r="2" spans="1:26" ht="21" customHeight="1" x14ac:dyDescent="0.2">
      <c r="A2" s="9" t="s">
        <v>346</v>
      </c>
      <c r="B2" s="628">
        <f>'ORDER FORM'!D8</f>
        <v>0</v>
      </c>
      <c r="C2" s="576"/>
      <c r="D2" s="576"/>
      <c r="E2" s="12"/>
      <c r="F2" s="33"/>
      <c r="G2" s="62" t="s">
        <v>57</v>
      </c>
      <c r="H2" s="23"/>
      <c r="I2" s="632">
        <f>'ORDER FORM'!K11</f>
        <v>0</v>
      </c>
      <c r="J2" s="582"/>
      <c r="K2" s="582"/>
      <c r="L2" s="582"/>
      <c r="M2" s="633"/>
      <c r="N2" s="33"/>
      <c r="O2" s="33"/>
      <c r="P2" s="635" t="s">
        <v>100</v>
      </c>
      <c r="Q2" s="636"/>
      <c r="R2" s="350"/>
    </row>
    <row r="3" spans="1:26" ht="21" customHeight="1" x14ac:dyDescent="0.2">
      <c r="A3" s="60" t="s">
        <v>160</v>
      </c>
      <c r="B3" s="628">
        <f>'ORDER FORM'!D10</f>
        <v>0</v>
      </c>
      <c r="C3" s="576"/>
      <c r="D3" s="576"/>
      <c r="E3" s="12"/>
      <c r="F3" s="33"/>
      <c r="G3" s="638" t="s">
        <v>10</v>
      </c>
      <c r="H3" s="359"/>
      <c r="I3" s="212">
        <f>'ORDER FORM'!K10</f>
        <v>0</v>
      </c>
      <c r="J3" s="210"/>
      <c r="K3" s="210"/>
      <c r="L3" s="218"/>
      <c r="M3" s="218"/>
      <c r="N3" s="33"/>
      <c r="O3" s="33"/>
      <c r="P3" s="637">
        <f>'ORDER FORM'!Q8</f>
        <v>0</v>
      </c>
      <c r="Q3" s="583"/>
      <c r="R3" s="588"/>
    </row>
    <row r="4" spans="1:26" ht="21" customHeight="1" x14ac:dyDescent="0.2">
      <c r="A4" s="9" t="s">
        <v>357</v>
      </c>
      <c r="B4" s="628">
        <f>'ORDER FORM'!D11</f>
        <v>0</v>
      </c>
      <c r="C4" s="576"/>
      <c r="D4" s="576"/>
      <c r="E4" s="576"/>
      <c r="F4" s="33"/>
      <c r="H4" s="217" t="s">
        <v>11</v>
      </c>
      <c r="I4" s="8">
        <f>'ORDER FORM'!R16</f>
        <v>0</v>
      </c>
      <c r="L4" s="220" t="s">
        <v>12</v>
      </c>
      <c r="M4" s="34">
        <f>'ORDER FORM'!R45</f>
        <v>0</v>
      </c>
      <c r="N4" s="33"/>
      <c r="O4" s="33"/>
      <c r="Q4" s="62"/>
      <c r="R4" s="23"/>
    </row>
    <row r="5" spans="1:26" ht="21" customHeight="1" x14ac:dyDescent="0.2">
      <c r="A5" s="61" t="s">
        <v>593</v>
      </c>
      <c r="B5" s="634" t="str">
        <f>'ORDER FORM'!D12</f>
        <v>Standard sanding</v>
      </c>
      <c r="C5" s="576"/>
      <c r="D5" s="576"/>
      <c r="E5" s="576"/>
      <c r="F5" s="186"/>
      <c r="G5" s="62" t="s">
        <v>168</v>
      </c>
      <c r="H5" s="23"/>
      <c r="I5" s="213">
        <f>'ORDER FORM'!K12</f>
        <v>0</v>
      </c>
      <c r="J5" s="204"/>
      <c r="K5" s="204"/>
      <c r="L5" s="203"/>
      <c r="M5" s="206"/>
      <c r="N5" s="33"/>
      <c r="O5" s="63"/>
    </row>
    <row r="6" spans="1:26" ht="21" customHeight="1" x14ac:dyDescent="0.2">
      <c r="A6" s="61"/>
      <c r="B6" s="186"/>
      <c r="C6" s="206"/>
      <c r="D6" s="206"/>
      <c r="E6" s="206"/>
      <c r="F6" s="186"/>
      <c r="G6" s="631" t="s">
        <v>511</v>
      </c>
      <c r="H6" s="631"/>
      <c r="I6" s="10">
        <f>'ORDER FORM'!K13</f>
        <v>0</v>
      </c>
      <c r="J6" s="33"/>
      <c r="K6" s="33"/>
      <c r="L6" s="33"/>
      <c r="M6" s="33"/>
      <c r="N6" s="33"/>
      <c r="O6" s="63"/>
    </row>
    <row r="7" spans="1:26" ht="18.75" customHeight="1" x14ac:dyDescent="0.2">
      <c r="A7" s="9"/>
      <c r="B7" s="33"/>
      <c r="C7" s="33"/>
      <c r="D7" s="11"/>
      <c r="F7" s="33"/>
      <c r="G7" s="33"/>
      <c r="H7" s="33"/>
      <c r="I7" s="33"/>
      <c r="J7" s="33"/>
      <c r="K7" s="33"/>
      <c r="L7" s="33"/>
      <c r="M7" s="27"/>
      <c r="N7" s="33"/>
      <c r="O7" s="33"/>
      <c r="P7" s="33"/>
    </row>
    <row r="8" spans="1:26" s="109" customFormat="1" ht="39.75" customHeight="1" x14ac:dyDescent="0.2">
      <c r="B8" s="107" t="s">
        <v>519</v>
      </c>
      <c r="C8" s="110"/>
      <c r="D8" s="107" t="s">
        <v>339</v>
      </c>
      <c r="E8" s="107" t="s">
        <v>170</v>
      </c>
      <c r="F8" s="110"/>
      <c r="G8" s="107" t="s">
        <v>339</v>
      </c>
      <c r="H8" s="107" t="s">
        <v>163</v>
      </c>
      <c r="I8" s="107" t="s">
        <v>164</v>
      </c>
      <c r="J8" s="108"/>
      <c r="K8" s="108"/>
      <c r="L8" s="108"/>
      <c r="N8" s="107" t="s">
        <v>519</v>
      </c>
      <c r="O8" s="107"/>
      <c r="P8" s="107" t="s">
        <v>339</v>
      </c>
      <c r="Q8" s="107" t="s">
        <v>165</v>
      </c>
      <c r="R8" s="107" t="s">
        <v>166</v>
      </c>
      <c r="X8"/>
      <c r="Y8"/>
      <c r="Z8"/>
    </row>
    <row r="9" spans="1:26" ht="21" customHeight="1" x14ac:dyDescent="0.2">
      <c r="C9" s="11"/>
      <c r="D9" s="11"/>
      <c r="E9" s="11"/>
      <c r="F9" s="11"/>
      <c r="G9" s="11"/>
      <c r="H9" s="11"/>
      <c r="I9" s="11"/>
      <c r="J9" s="74" t="s">
        <v>360</v>
      </c>
      <c r="K9" s="73" t="s">
        <v>361</v>
      </c>
      <c r="L9" s="11"/>
      <c r="N9" s="27"/>
      <c r="O9" s="27"/>
      <c r="P9" s="13" t="s">
        <v>167</v>
      </c>
      <c r="Q9" s="12"/>
      <c r="R9" s="12"/>
      <c r="X9"/>
      <c r="Y9"/>
      <c r="Z9"/>
    </row>
    <row r="10" spans="1:26" ht="24.75" customHeight="1" x14ac:dyDescent="0.2">
      <c r="A10" s="8" t="s">
        <v>173</v>
      </c>
      <c r="B10" s="30">
        <v>1</v>
      </c>
      <c r="C10" s="31"/>
      <c r="D10" s="14">
        <f>Sizes!C8*2</f>
        <v>0</v>
      </c>
      <c r="E10" s="14">
        <f>IF(D10=0,0,Sizes!E8-d.sl)</f>
        <v>0</v>
      </c>
      <c r="F10" s="31"/>
      <c r="G10" s="14">
        <f>D10</f>
        <v>0</v>
      </c>
      <c r="H10" s="14">
        <f>IF(D10=0,0,Sizes!D8-d.rl)</f>
        <v>0</v>
      </c>
      <c r="I10" s="14">
        <f>IF(D10=0,0,Sizes!D8-d.sf)</f>
        <v>0</v>
      </c>
      <c r="J10" s="23">
        <f>D10*E10</f>
        <v>0</v>
      </c>
      <c r="K10" s="23">
        <f>G10*H10</f>
        <v>0</v>
      </c>
      <c r="L10" s="23"/>
      <c r="M10" s="8" t="s">
        <v>173</v>
      </c>
      <c r="N10" s="30">
        <v>1</v>
      </c>
      <c r="O10" s="66"/>
      <c r="P10" s="14">
        <f>Sizes!C8</f>
        <v>0</v>
      </c>
      <c r="Q10" s="14">
        <f>IF(D10=0,0,Sizes!D8-d.pw)</f>
        <v>0</v>
      </c>
      <c r="R10" s="14">
        <f>IF(D10=0,0,Sizes!E8-d.pl)</f>
        <v>0</v>
      </c>
      <c r="S10" s="72">
        <f>(((Q10*0.03937)*(R10*0.03937))*P10)/144</f>
        <v>0</v>
      </c>
    </row>
    <row r="11" spans="1:26" ht="24.75" customHeight="1" x14ac:dyDescent="0.2">
      <c r="A11" s="64" t="s">
        <v>95</v>
      </c>
      <c r="B11" s="30">
        <v>2</v>
      </c>
      <c r="C11" s="16"/>
      <c r="D11" s="14">
        <f>Sizes!C9*2</f>
        <v>0</v>
      </c>
      <c r="E11" s="14">
        <f>IF(D11=0,0,Sizes!E9-d.sl)</f>
        <v>0</v>
      </c>
      <c r="F11" s="31"/>
      <c r="G11" s="14">
        <f t="shared" ref="G11:G24" si="0">D11</f>
        <v>0</v>
      </c>
      <c r="H11" s="14">
        <f>IF(D11=0,0,Sizes!D9-d.rl)</f>
        <v>0</v>
      </c>
      <c r="I11" s="14">
        <f>IF(D11=0,0,Sizes!D9-d.sf)</f>
        <v>0</v>
      </c>
      <c r="J11" s="23">
        <f t="shared" ref="J11:J24" si="1">D11*E11</f>
        <v>0</v>
      </c>
      <c r="K11" s="23">
        <f t="shared" ref="K11:K24" si="2">G11*H11</f>
        <v>0</v>
      </c>
      <c r="L11" s="23"/>
      <c r="M11" s="64" t="s">
        <v>95</v>
      </c>
      <c r="N11" s="30">
        <v>2</v>
      </c>
      <c r="O11" s="67"/>
      <c r="P11" s="14">
        <f>Sizes!C9</f>
        <v>0</v>
      </c>
      <c r="Q11" s="14">
        <f>IF(D11=0,0,Sizes!D9-d.pw)</f>
        <v>0</v>
      </c>
      <c r="R11" s="14">
        <f>IF(D11=0,0,Sizes!E9-d.pl)</f>
        <v>0</v>
      </c>
      <c r="S11" s="72">
        <f t="shared" ref="S11:S24" si="3">(((Q11*0.03937)*(R11*0.03937))*P11)/144</f>
        <v>0</v>
      </c>
    </row>
    <row r="12" spans="1:26" ht="24.75" customHeight="1" x14ac:dyDescent="0.2">
      <c r="A12" s="81">
        <f>'ORDER FORM'!D16</f>
        <v>0</v>
      </c>
      <c r="B12" s="30">
        <v>3</v>
      </c>
      <c r="C12" s="16"/>
      <c r="D12" s="14">
        <f>Sizes!C10*2</f>
        <v>0</v>
      </c>
      <c r="E12" s="14">
        <f>IF(D12=0,0,Sizes!E10-d.sl)</f>
        <v>0</v>
      </c>
      <c r="F12" s="31"/>
      <c r="G12" s="14">
        <f t="shared" si="0"/>
        <v>0</v>
      </c>
      <c r="H12" s="14">
        <f>IF(D12=0,0,Sizes!D10-d.rl)</f>
        <v>0</v>
      </c>
      <c r="I12" s="14">
        <f>IF(D12=0,0,Sizes!D10-d.sf)</f>
        <v>0</v>
      </c>
      <c r="J12" s="23">
        <f t="shared" si="1"/>
        <v>0</v>
      </c>
      <c r="K12" s="23">
        <f t="shared" si="2"/>
        <v>0</v>
      </c>
      <c r="L12" s="23"/>
      <c r="M12" s="81">
        <f>A12</f>
        <v>0</v>
      </c>
      <c r="N12" s="30">
        <v>3</v>
      </c>
      <c r="O12" s="67"/>
      <c r="P12" s="14">
        <f>Sizes!C10</f>
        <v>0</v>
      </c>
      <c r="Q12" s="14">
        <f>IF(D12=0,0,Sizes!D10-d.pw)</f>
        <v>0</v>
      </c>
      <c r="R12" s="14">
        <f>IF(D12=0,0,Sizes!E10-d.pl)</f>
        <v>0</v>
      </c>
      <c r="S12" s="72">
        <f t="shared" si="3"/>
        <v>0</v>
      </c>
    </row>
    <row r="13" spans="1:26" ht="24.75" customHeight="1" x14ac:dyDescent="0.2">
      <c r="A13" s="219">
        <f>I3</f>
        <v>0</v>
      </c>
      <c r="B13" s="30">
        <v>4</v>
      </c>
      <c r="C13" s="16"/>
      <c r="D13" s="14">
        <f>Sizes!C11*2</f>
        <v>0</v>
      </c>
      <c r="E13" s="14">
        <f>IF(D13=0,0,Sizes!E11-d.sl)</f>
        <v>0</v>
      </c>
      <c r="F13" s="31"/>
      <c r="G13" s="14">
        <f t="shared" si="0"/>
        <v>0</v>
      </c>
      <c r="H13" s="14">
        <f>IF(D13=0,0,Sizes!D11-d.rl)</f>
        <v>0</v>
      </c>
      <c r="I13" s="14">
        <f>IF(D13=0,0,Sizes!D11-d.sf)</f>
        <v>0</v>
      </c>
      <c r="J13" s="23">
        <f t="shared" si="1"/>
        <v>0</v>
      </c>
      <c r="K13" s="23">
        <f t="shared" si="2"/>
        <v>0</v>
      </c>
      <c r="L13" s="23"/>
      <c r="M13" s="219">
        <f>I3</f>
        <v>0</v>
      </c>
      <c r="N13" s="30">
        <v>4</v>
      </c>
      <c r="O13" s="67"/>
      <c r="P13" s="14">
        <f>Sizes!C11</f>
        <v>0</v>
      </c>
      <c r="Q13" s="14">
        <f>IF(D13=0,0,Sizes!D11-d.pw)</f>
        <v>0</v>
      </c>
      <c r="R13" s="14">
        <f>IF(D13=0,0,Sizes!E11-d.pl)</f>
        <v>0</v>
      </c>
      <c r="S13" s="72">
        <f t="shared" si="3"/>
        <v>0</v>
      </c>
    </row>
    <row r="14" spans="1:26" ht="24.75" customHeight="1" x14ac:dyDescent="0.2">
      <c r="B14" s="30">
        <v>5</v>
      </c>
      <c r="C14" s="16"/>
      <c r="D14" s="14">
        <f>Sizes!C12*2</f>
        <v>0</v>
      </c>
      <c r="E14" s="14">
        <f>IF(D14=0,0,Sizes!E12-d.sl)</f>
        <v>0</v>
      </c>
      <c r="F14" s="31"/>
      <c r="G14" s="14">
        <f t="shared" si="0"/>
        <v>0</v>
      </c>
      <c r="H14" s="14">
        <f>IF(D14=0,0,Sizes!D12-d.rl)</f>
        <v>0</v>
      </c>
      <c r="I14" s="14">
        <f>IF(D14=0,0,Sizes!D12-d.sf)</f>
        <v>0</v>
      </c>
      <c r="J14" s="23">
        <f t="shared" si="1"/>
        <v>0</v>
      </c>
      <c r="K14" s="23">
        <f t="shared" si="2"/>
        <v>0</v>
      </c>
      <c r="L14" s="23"/>
      <c r="N14" s="30">
        <v>5</v>
      </c>
      <c r="O14" s="67"/>
      <c r="P14" s="14">
        <f>Sizes!C12</f>
        <v>0</v>
      </c>
      <c r="Q14" s="14">
        <f>IF(D14=0,0,Sizes!D12-d.pw)</f>
        <v>0</v>
      </c>
      <c r="R14" s="14">
        <f>IF(D14=0,0,Sizes!E12-d.pl)</f>
        <v>0</v>
      </c>
      <c r="S14" s="72">
        <f t="shared" si="3"/>
        <v>0</v>
      </c>
    </row>
    <row r="15" spans="1:26" ht="24.75" customHeight="1" x14ac:dyDescent="0.2">
      <c r="B15" s="30">
        <v>6</v>
      </c>
      <c r="C15" s="16"/>
      <c r="D15" s="14">
        <f>Sizes!C13*2</f>
        <v>0</v>
      </c>
      <c r="E15" s="14">
        <f>IF(D15=0,0,Sizes!E13-d.sl)</f>
        <v>0</v>
      </c>
      <c r="F15" s="31"/>
      <c r="G15" s="14">
        <f t="shared" si="0"/>
        <v>0</v>
      </c>
      <c r="H15" s="14">
        <f>IF(D15=0,0,Sizes!D13-d.rl)</f>
        <v>0</v>
      </c>
      <c r="I15" s="14">
        <f>IF(D15=0,0,Sizes!D13-d.sf)</f>
        <v>0</v>
      </c>
      <c r="J15" s="23">
        <f t="shared" si="1"/>
        <v>0</v>
      </c>
      <c r="K15" s="23">
        <f t="shared" si="2"/>
        <v>0</v>
      </c>
      <c r="L15" s="23"/>
      <c r="N15" s="30">
        <v>6</v>
      </c>
      <c r="O15" s="67"/>
      <c r="P15" s="14">
        <f>Sizes!C13</f>
        <v>0</v>
      </c>
      <c r="Q15" s="14">
        <f>IF(D15=0,0,Sizes!D13-d.pw)</f>
        <v>0</v>
      </c>
      <c r="R15" s="14">
        <f>IF(D15=0,0,Sizes!E13-d.pl)</f>
        <v>0</v>
      </c>
      <c r="S15" s="72">
        <f t="shared" si="3"/>
        <v>0</v>
      </c>
    </row>
    <row r="16" spans="1:26" ht="24.75" customHeight="1" x14ac:dyDescent="0.2">
      <c r="B16" s="30">
        <v>7</v>
      </c>
      <c r="C16" s="16"/>
      <c r="D16" s="14">
        <f>Sizes!C14*2</f>
        <v>0</v>
      </c>
      <c r="E16" s="14">
        <f>IF(D16=0,0,Sizes!E14-d.sl)</f>
        <v>0</v>
      </c>
      <c r="F16" s="31"/>
      <c r="G16" s="14">
        <f t="shared" si="0"/>
        <v>0</v>
      </c>
      <c r="H16" s="14">
        <f>IF(D16=0,0,Sizes!D14-d.rl)</f>
        <v>0</v>
      </c>
      <c r="I16" s="14">
        <f>IF(D16=0,0,Sizes!D14-d.sf)</f>
        <v>0</v>
      </c>
      <c r="J16" s="23">
        <f t="shared" si="1"/>
        <v>0</v>
      </c>
      <c r="K16" s="23">
        <f t="shared" si="2"/>
        <v>0</v>
      </c>
      <c r="L16" s="23"/>
      <c r="N16" s="30">
        <v>7</v>
      </c>
      <c r="O16" s="67"/>
      <c r="P16" s="14">
        <f>Sizes!C14</f>
        <v>0</v>
      </c>
      <c r="Q16" s="14">
        <f>IF(D16=0,0,Sizes!D14-d.pw)</f>
        <v>0</v>
      </c>
      <c r="R16" s="14">
        <f>IF(D16=0,0,Sizes!E14-d.pl)</f>
        <v>0</v>
      </c>
      <c r="S16" s="72">
        <f t="shared" si="3"/>
        <v>0</v>
      </c>
    </row>
    <row r="17" spans="1:19" ht="24.75" customHeight="1" x14ac:dyDescent="0.2">
      <c r="B17" s="30">
        <v>8</v>
      </c>
      <c r="C17" s="16"/>
      <c r="D17" s="14">
        <f>Sizes!C15*2</f>
        <v>0</v>
      </c>
      <c r="E17" s="14">
        <f>IF(D17=0,0,Sizes!E15-d.sl)</f>
        <v>0</v>
      </c>
      <c r="F17" s="31"/>
      <c r="G17" s="14">
        <f t="shared" si="0"/>
        <v>0</v>
      </c>
      <c r="H17" s="14">
        <f>IF(D17=0,0,Sizes!D15-d.rl)</f>
        <v>0</v>
      </c>
      <c r="I17" s="14">
        <f>IF(D17=0,0,Sizes!D15-d.sf)</f>
        <v>0</v>
      </c>
      <c r="J17" s="23">
        <f t="shared" si="1"/>
        <v>0</v>
      </c>
      <c r="K17" s="23">
        <f t="shared" si="2"/>
        <v>0</v>
      </c>
      <c r="L17" s="23"/>
      <c r="N17" s="30">
        <v>8</v>
      </c>
      <c r="O17" s="67"/>
      <c r="P17" s="14">
        <f>Sizes!C15</f>
        <v>0</v>
      </c>
      <c r="Q17" s="14">
        <f>IF(D17=0,0,Sizes!D15-d.pw)</f>
        <v>0</v>
      </c>
      <c r="R17" s="14">
        <f>IF(D17=0,0,Sizes!E15-d.pl)</f>
        <v>0</v>
      </c>
      <c r="S17" s="72">
        <f t="shared" si="3"/>
        <v>0</v>
      </c>
    </row>
    <row r="18" spans="1:19" ht="24.75" customHeight="1" x14ac:dyDescent="0.2">
      <c r="B18" s="30">
        <v>9</v>
      </c>
      <c r="C18" s="16"/>
      <c r="D18" s="14">
        <f>Sizes!C16*2</f>
        <v>0</v>
      </c>
      <c r="E18" s="14">
        <f>IF(D18=0,0,Sizes!E16-d.sl)</f>
        <v>0</v>
      </c>
      <c r="F18" s="31"/>
      <c r="G18" s="14">
        <f t="shared" si="0"/>
        <v>0</v>
      </c>
      <c r="H18" s="14">
        <f>IF(D18=0,0,Sizes!D16-d.rl)</f>
        <v>0</v>
      </c>
      <c r="I18" s="14">
        <f>IF(D18=0,0,Sizes!D16-d.sf)</f>
        <v>0</v>
      </c>
      <c r="J18" s="23">
        <f t="shared" si="1"/>
        <v>0</v>
      </c>
      <c r="K18" s="23">
        <f t="shared" si="2"/>
        <v>0</v>
      </c>
      <c r="L18" s="23"/>
      <c r="N18" s="30">
        <v>9</v>
      </c>
      <c r="O18" s="67"/>
      <c r="P18" s="14">
        <f>Sizes!C16</f>
        <v>0</v>
      </c>
      <c r="Q18" s="14">
        <f>IF(D18=0,0,Sizes!D16-d.pw)</f>
        <v>0</v>
      </c>
      <c r="R18" s="14">
        <f>IF(D18=0,0,Sizes!E16-d.pl)</f>
        <v>0</v>
      </c>
      <c r="S18" s="72">
        <f t="shared" si="3"/>
        <v>0</v>
      </c>
    </row>
    <row r="19" spans="1:19" ht="24.75" customHeight="1" x14ac:dyDescent="0.2">
      <c r="B19" s="30">
        <v>10</v>
      </c>
      <c r="C19" s="16"/>
      <c r="D19" s="14">
        <f>Sizes!C17*2</f>
        <v>0</v>
      </c>
      <c r="E19" s="14">
        <f>IF(D19=0,0,Sizes!E17-d.sl)</f>
        <v>0</v>
      </c>
      <c r="F19" s="31"/>
      <c r="G19" s="14">
        <f t="shared" si="0"/>
        <v>0</v>
      </c>
      <c r="H19" s="14">
        <f>IF(D19=0,0,Sizes!D17-d.rl)</f>
        <v>0</v>
      </c>
      <c r="I19" s="14">
        <f>IF(D19=0,0,Sizes!D17-d.sf)</f>
        <v>0</v>
      </c>
      <c r="J19" s="23">
        <f t="shared" si="1"/>
        <v>0</v>
      </c>
      <c r="K19" s="23">
        <f t="shared" si="2"/>
        <v>0</v>
      </c>
      <c r="L19" s="23"/>
      <c r="N19" s="30">
        <v>10</v>
      </c>
      <c r="O19" s="67"/>
      <c r="P19" s="14">
        <f>Sizes!C17</f>
        <v>0</v>
      </c>
      <c r="Q19" s="14">
        <f>IF(D19=0,0,Sizes!D17-d.pw)</f>
        <v>0</v>
      </c>
      <c r="R19" s="14">
        <f>IF(D19=0,0,Sizes!E17-d.pl)</f>
        <v>0</v>
      </c>
      <c r="S19" s="72">
        <f t="shared" si="3"/>
        <v>0</v>
      </c>
    </row>
    <row r="20" spans="1:19" ht="24.75" customHeight="1" x14ac:dyDescent="0.2">
      <c r="B20" s="30">
        <v>11</v>
      </c>
      <c r="C20" s="16"/>
      <c r="D20" s="14">
        <f>Sizes!C18*2</f>
        <v>0</v>
      </c>
      <c r="E20" s="14">
        <f>IF(D20=0,0,Sizes!E18-d.sl)</f>
        <v>0</v>
      </c>
      <c r="F20" s="31"/>
      <c r="G20" s="14">
        <f t="shared" si="0"/>
        <v>0</v>
      </c>
      <c r="H20" s="14">
        <f>IF(D20=0,0,Sizes!D18-d.rl)</f>
        <v>0</v>
      </c>
      <c r="I20" s="14">
        <f>IF(D20=0,0,Sizes!D18-d.sf)</f>
        <v>0</v>
      </c>
      <c r="J20" s="23">
        <f t="shared" si="1"/>
        <v>0</v>
      </c>
      <c r="K20" s="23">
        <f t="shared" si="2"/>
        <v>0</v>
      </c>
      <c r="L20" s="23"/>
      <c r="N20" s="30">
        <v>11</v>
      </c>
      <c r="O20" s="67"/>
      <c r="P20" s="14">
        <f>Sizes!C18</f>
        <v>0</v>
      </c>
      <c r="Q20" s="14">
        <f>IF(D20=0,0,Sizes!D18-d.pw)</f>
        <v>0</v>
      </c>
      <c r="R20" s="14">
        <f>IF(D20=0,0,Sizes!E18-d.pl)</f>
        <v>0</v>
      </c>
      <c r="S20" s="72">
        <f t="shared" si="3"/>
        <v>0</v>
      </c>
    </row>
    <row r="21" spans="1:19" ht="24.75" customHeight="1" x14ac:dyDescent="0.2">
      <c r="B21" s="30">
        <v>12</v>
      </c>
      <c r="C21" s="16"/>
      <c r="D21" s="14">
        <f>Sizes!C19*2</f>
        <v>0</v>
      </c>
      <c r="E21" s="14">
        <f>IF(D21=0,0,Sizes!E19-d.sl)</f>
        <v>0</v>
      </c>
      <c r="F21" s="31"/>
      <c r="G21" s="14">
        <f t="shared" si="0"/>
        <v>0</v>
      </c>
      <c r="H21" s="14">
        <f>IF(D21=0,0,Sizes!D19-d.rl)</f>
        <v>0</v>
      </c>
      <c r="I21" s="14">
        <f>IF(D21=0,0,Sizes!D19-d.sf)</f>
        <v>0</v>
      </c>
      <c r="J21" s="23">
        <f t="shared" si="1"/>
        <v>0</v>
      </c>
      <c r="K21" s="23">
        <f t="shared" si="2"/>
        <v>0</v>
      </c>
      <c r="L21" s="23"/>
      <c r="N21" s="30">
        <v>12</v>
      </c>
      <c r="O21" s="67"/>
      <c r="P21" s="14">
        <f>Sizes!C19</f>
        <v>0</v>
      </c>
      <c r="Q21" s="14">
        <f>IF(D21=0,0,Sizes!D19-d.pw)</f>
        <v>0</v>
      </c>
      <c r="R21" s="14">
        <f>IF(D21=0,0,Sizes!E19-d.pl)</f>
        <v>0</v>
      </c>
      <c r="S21" s="72">
        <f t="shared" si="3"/>
        <v>0</v>
      </c>
    </row>
    <row r="22" spans="1:19" ht="24.75" customHeight="1" x14ac:dyDescent="0.2">
      <c r="B22" s="30">
        <v>13</v>
      </c>
      <c r="C22" s="16"/>
      <c r="D22" s="14">
        <f>Sizes!C20*2</f>
        <v>0</v>
      </c>
      <c r="E22" s="14">
        <f>IF(D22=0,0,Sizes!E20-d.sl)</f>
        <v>0</v>
      </c>
      <c r="F22" s="31"/>
      <c r="G22" s="14">
        <f t="shared" si="0"/>
        <v>0</v>
      </c>
      <c r="H22" s="14">
        <f>IF(D22=0,0,Sizes!D20-d.rl)</f>
        <v>0</v>
      </c>
      <c r="I22" s="14">
        <f>IF(D22=0,0,Sizes!D20-d.sf)</f>
        <v>0</v>
      </c>
      <c r="J22" s="23">
        <f t="shared" si="1"/>
        <v>0</v>
      </c>
      <c r="K22" s="23">
        <f t="shared" si="2"/>
        <v>0</v>
      </c>
      <c r="L22" s="23"/>
      <c r="N22" s="30">
        <v>13</v>
      </c>
      <c r="O22" s="67"/>
      <c r="P22" s="14">
        <f>Sizes!C20</f>
        <v>0</v>
      </c>
      <c r="Q22" s="14">
        <f>IF(D22=0,0,Sizes!D20-d.pw)</f>
        <v>0</v>
      </c>
      <c r="R22" s="14">
        <f>IF(D22=0,0,Sizes!E20-d.pl)</f>
        <v>0</v>
      </c>
      <c r="S22" s="72">
        <f t="shared" si="3"/>
        <v>0</v>
      </c>
    </row>
    <row r="23" spans="1:19" ht="24.75" customHeight="1" x14ac:dyDescent="0.2">
      <c r="B23" s="30">
        <v>14</v>
      </c>
      <c r="C23" s="16"/>
      <c r="D23" s="14">
        <f>Sizes!C21*2</f>
        <v>0</v>
      </c>
      <c r="E23" s="14">
        <f>IF(D23=0,0,Sizes!E21-d.sl)</f>
        <v>0</v>
      </c>
      <c r="F23" s="31"/>
      <c r="G23" s="14">
        <f t="shared" si="0"/>
        <v>0</v>
      </c>
      <c r="H23" s="14">
        <f>IF(D23=0,0,Sizes!D21-d.rl)</f>
        <v>0</v>
      </c>
      <c r="I23" s="14">
        <f>IF(D23=0,0,Sizes!D21-d.sf)</f>
        <v>0</v>
      </c>
      <c r="J23" s="23">
        <f t="shared" si="1"/>
        <v>0</v>
      </c>
      <c r="K23" s="23">
        <f t="shared" si="2"/>
        <v>0</v>
      </c>
      <c r="L23" s="23"/>
      <c r="N23" s="30">
        <v>14</v>
      </c>
      <c r="O23" s="67"/>
      <c r="P23" s="14">
        <f>Sizes!C21</f>
        <v>0</v>
      </c>
      <c r="Q23" s="14">
        <f>IF(D23=0,0,Sizes!D21-d.pw)</f>
        <v>0</v>
      </c>
      <c r="R23" s="14">
        <f>IF(D23=0,0,Sizes!E21-d.pl)</f>
        <v>0</v>
      </c>
      <c r="S23" s="72">
        <f t="shared" si="3"/>
        <v>0</v>
      </c>
    </row>
    <row r="24" spans="1:19" ht="24.75" customHeight="1" x14ac:dyDescent="0.2">
      <c r="B24" s="30">
        <v>15</v>
      </c>
      <c r="C24" s="32"/>
      <c r="D24" s="14">
        <f>Sizes!C22*2</f>
        <v>0</v>
      </c>
      <c r="E24" s="14">
        <f>IF(D24=0,0,Sizes!E22-d.sl)</f>
        <v>0</v>
      </c>
      <c r="F24" s="187"/>
      <c r="G24" s="14">
        <f t="shared" si="0"/>
        <v>0</v>
      </c>
      <c r="H24" s="14">
        <f>IF(D24=0,0,Sizes!D22-d.rl)</f>
        <v>0</v>
      </c>
      <c r="I24" s="14">
        <f>IF(D24=0,0,Sizes!D22-d.sf)</f>
        <v>0</v>
      </c>
      <c r="J24" s="23">
        <f t="shared" si="1"/>
        <v>0</v>
      </c>
      <c r="K24" s="23">
        <f t="shared" si="2"/>
        <v>0</v>
      </c>
      <c r="L24" s="23"/>
      <c r="N24" s="30">
        <v>15</v>
      </c>
      <c r="O24" s="68"/>
      <c r="P24" s="14">
        <f>Sizes!C22</f>
        <v>0</v>
      </c>
      <c r="Q24" s="14">
        <f>IF(D24=0,0,Sizes!D22-d.pw)</f>
        <v>0</v>
      </c>
      <c r="R24" s="14">
        <f>IF(D24=0,0,Sizes!E22-d.pl)</f>
        <v>0</v>
      </c>
      <c r="S24" s="72">
        <f t="shared" si="3"/>
        <v>0</v>
      </c>
    </row>
    <row r="25" spans="1:19" ht="24.75" customHeight="1" x14ac:dyDescent="0.2">
      <c r="C25" s="24"/>
      <c r="D25" s="24"/>
      <c r="E25" s="24"/>
      <c r="F25" s="24"/>
      <c r="G25" s="24"/>
      <c r="H25" s="88"/>
      <c r="I25" s="24"/>
      <c r="J25" s="71">
        <f>SUM(J10:J24)</f>
        <v>0</v>
      </c>
      <c r="K25" s="71">
        <f>SUM(K10:K24)</f>
        <v>0</v>
      </c>
      <c r="L25" s="24"/>
      <c r="N25" s="28"/>
      <c r="O25" s="28"/>
      <c r="P25" s="15" t="s">
        <v>167</v>
      </c>
      <c r="Q25" s="25"/>
      <c r="R25" s="88"/>
      <c r="S25" s="75">
        <f>SUM(S10:S24)</f>
        <v>0</v>
      </c>
    </row>
    <row r="26" spans="1:19" ht="24.75" customHeight="1" x14ac:dyDescent="0.2">
      <c r="A26" s="11" t="s">
        <v>174</v>
      </c>
      <c r="B26" s="30">
        <v>1</v>
      </c>
      <c r="C26" s="31"/>
      <c r="D26" s="14">
        <f>Sizes!I8*2</f>
        <v>0</v>
      </c>
      <c r="E26" s="14">
        <f>IF(D26=0,0,Sizes!K8-d.sl)</f>
        <v>0</v>
      </c>
      <c r="F26" s="31"/>
      <c r="G26" s="14">
        <f>D26</f>
        <v>0</v>
      </c>
      <c r="H26" s="14">
        <f>IF(D26=0,0,Sizes!J8-d.rl)</f>
        <v>0</v>
      </c>
      <c r="I26" s="14">
        <f>IF(D26=0,0,Sizes!J8-d.sf)</f>
        <v>0</v>
      </c>
      <c r="J26" s="23">
        <f>D26*E26</f>
        <v>0</v>
      </c>
      <c r="K26" s="23">
        <f t="shared" ref="K26:K51" si="4">G26*H26</f>
        <v>0</v>
      </c>
      <c r="L26" s="23"/>
      <c r="M26" s="11" t="s">
        <v>174</v>
      </c>
      <c r="N26" s="30">
        <v>1</v>
      </c>
      <c r="O26" s="66"/>
      <c r="P26" s="36">
        <f>Sizes!I8</f>
        <v>0</v>
      </c>
      <c r="Q26" s="14">
        <f>IF(P26=0,0,Sizes!J8-d.pw)</f>
        <v>0</v>
      </c>
      <c r="R26" s="87">
        <f>IF(P26=0,0,Sizes!K8-d.pl)</f>
        <v>0</v>
      </c>
      <c r="S26" s="72">
        <f t="shared" ref="S26:S70" si="5">(((Q26*0.03937)*(R26*0.03937))*P26)/144</f>
        <v>0</v>
      </c>
    </row>
    <row r="27" spans="1:19" ht="24.75" customHeight="1" x14ac:dyDescent="0.2">
      <c r="A27" s="64" t="s">
        <v>95</v>
      </c>
      <c r="B27" s="30">
        <v>2</v>
      </c>
      <c r="C27" s="16"/>
      <c r="D27" s="14">
        <f>Sizes!I9*2</f>
        <v>0</v>
      </c>
      <c r="E27" s="14">
        <f>IF(D27=0,0,Sizes!K9-d.sl)</f>
        <v>0</v>
      </c>
      <c r="F27" s="31"/>
      <c r="G27" s="14">
        <f t="shared" ref="G27:G40" si="6">D27</f>
        <v>0</v>
      </c>
      <c r="H27" s="14">
        <f>IF(D27=0,0,Sizes!J9-d.rl)</f>
        <v>0</v>
      </c>
      <c r="I27" s="14">
        <f>IF(D27=0,0,Sizes!J9-d.sf)</f>
        <v>0</v>
      </c>
      <c r="J27" s="23">
        <f>D27*E27</f>
        <v>0</v>
      </c>
      <c r="K27" s="23">
        <f t="shared" si="4"/>
        <v>0</v>
      </c>
      <c r="L27" s="23"/>
      <c r="M27" s="64" t="s">
        <v>95</v>
      </c>
      <c r="N27" s="30">
        <v>2</v>
      </c>
      <c r="O27" s="67"/>
      <c r="P27" s="36">
        <f>Sizes!I9</f>
        <v>0</v>
      </c>
      <c r="Q27" s="14">
        <f>IF(P27=0,0,Sizes!J9-d.pw)</f>
        <v>0</v>
      </c>
      <c r="R27" s="87">
        <f>IF(P27=0,0,Sizes!K9-d.pl)</f>
        <v>0</v>
      </c>
      <c r="S27" s="72">
        <f t="shared" si="5"/>
        <v>0</v>
      </c>
    </row>
    <row r="28" spans="1:19" ht="24.75" customHeight="1" x14ac:dyDescent="0.2">
      <c r="A28" s="81">
        <f>'ORDER FORM'!J16</f>
        <v>0</v>
      </c>
      <c r="B28" s="30">
        <v>3</v>
      </c>
      <c r="C28" s="16"/>
      <c r="D28" s="14">
        <f>Sizes!I10*2</f>
        <v>0</v>
      </c>
      <c r="E28" s="14">
        <f>IF(D28=0,0,Sizes!K10-d.sl)</f>
        <v>0</v>
      </c>
      <c r="F28" s="31"/>
      <c r="G28" s="14">
        <f t="shared" si="6"/>
        <v>0</v>
      </c>
      <c r="H28" s="14">
        <f>IF(D28=0,0,Sizes!J10-d.rl)</f>
        <v>0</v>
      </c>
      <c r="I28" s="14">
        <f>IF(D28=0,0,Sizes!J10-d.sf)</f>
        <v>0</v>
      </c>
      <c r="J28" s="23">
        <f t="shared" ref="J28:J40" si="7">D28*E28</f>
        <v>0</v>
      </c>
      <c r="K28" s="23">
        <f t="shared" si="4"/>
        <v>0</v>
      </c>
      <c r="L28" s="23"/>
      <c r="M28" s="81">
        <f>A28</f>
        <v>0</v>
      </c>
      <c r="N28" s="30">
        <v>3</v>
      </c>
      <c r="O28" s="67"/>
      <c r="P28" s="36">
        <f>Sizes!I10</f>
        <v>0</v>
      </c>
      <c r="Q28" s="14">
        <f>IF(P28=0,0,Sizes!J10-d.pw)</f>
        <v>0</v>
      </c>
      <c r="R28" s="87">
        <f>IF(P28=0,0,Sizes!K10-d.pl)</f>
        <v>0</v>
      </c>
      <c r="S28" s="72">
        <f t="shared" si="5"/>
        <v>0</v>
      </c>
    </row>
    <row r="29" spans="1:19" ht="24.75" customHeight="1" x14ac:dyDescent="0.2">
      <c r="A29" s="219">
        <f>I3</f>
        <v>0</v>
      </c>
      <c r="B29" s="30">
        <v>4</v>
      </c>
      <c r="C29" s="16"/>
      <c r="D29" s="14">
        <f>Sizes!I11*2</f>
        <v>0</v>
      </c>
      <c r="E29" s="14">
        <f>IF(D29=0,0,Sizes!K11-d.sl)</f>
        <v>0</v>
      </c>
      <c r="F29" s="31"/>
      <c r="G29" s="14">
        <f t="shared" si="6"/>
        <v>0</v>
      </c>
      <c r="H29" s="14">
        <f>IF(D29=0,0,Sizes!J11-d.rl)</f>
        <v>0</v>
      </c>
      <c r="I29" s="14">
        <f>IF(D29=0,0,Sizes!J11-d.sf)</f>
        <v>0</v>
      </c>
      <c r="J29" s="23">
        <f t="shared" si="7"/>
        <v>0</v>
      </c>
      <c r="K29" s="23">
        <f t="shared" si="4"/>
        <v>0</v>
      </c>
      <c r="L29" s="23"/>
      <c r="M29" s="219">
        <f>I3</f>
        <v>0</v>
      </c>
      <c r="N29" s="30">
        <v>4</v>
      </c>
      <c r="O29" s="67"/>
      <c r="P29" s="36">
        <f>Sizes!I11</f>
        <v>0</v>
      </c>
      <c r="Q29" s="14">
        <f>IF(P29=0,0,Sizes!J11-d.pw)</f>
        <v>0</v>
      </c>
      <c r="R29" s="87">
        <f>IF(P29=0,0,Sizes!K11-d.pl)</f>
        <v>0</v>
      </c>
      <c r="S29" s="72">
        <f t="shared" si="5"/>
        <v>0</v>
      </c>
    </row>
    <row r="30" spans="1:19" ht="24.75" customHeight="1" x14ac:dyDescent="0.2">
      <c r="B30" s="30">
        <v>5</v>
      </c>
      <c r="C30" s="16"/>
      <c r="D30" s="14">
        <f>Sizes!I12*2</f>
        <v>0</v>
      </c>
      <c r="E30" s="14">
        <f>IF(D30=0,0,Sizes!K12-d.sl)</f>
        <v>0</v>
      </c>
      <c r="F30" s="31"/>
      <c r="G30" s="14">
        <f t="shared" si="6"/>
        <v>0</v>
      </c>
      <c r="H30" s="14">
        <f>IF(D30=0,0,Sizes!J12-d.rl)</f>
        <v>0</v>
      </c>
      <c r="I30" s="14">
        <f>IF(D30=0,0,Sizes!J12-d.sf)</f>
        <v>0</v>
      </c>
      <c r="J30" s="23">
        <f t="shared" si="7"/>
        <v>0</v>
      </c>
      <c r="K30" s="23">
        <f t="shared" si="4"/>
        <v>0</v>
      </c>
      <c r="L30" s="23"/>
      <c r="N30" s="30">
        <v>5</v>
      </c>
      <c r="O30" s="67"/>
      <c r="P30" s="36">
        <f>Sizes!I12</f>
        <v>0</v>
      </c>
      <c r="Q30" s="14">
        <f>IF(P30=0,0,Sizes!J12-d.pw)</f>
        <v>0</v>
      </c>
      <c r="R30" s="87">
        <f>IF(P30=0,0,Sizes!K12-d.pl)</f>
        <v>0</v>
      </c>
      <c r="S30" s="72">
        <f t="shared" si="5"/>
        <v>0</v>
      </c>
    </row>
    <row r="31" spans="1:19" ht="24.75" customHeight="1" x14ac:dyDescent="0.2">
      <c r="B31" s="30">
        <v>6</v>
      </c>
      <c r="C31" s="16"/>
      <c r="D31" s="14">
        <f>Sizes!I13*2</f>
        <v>0</v>
      </c>
      <c r="E31" s="14">
        <f>IF(D31=0,0,Sizes!K13-d.sl)</f>
        <v>0</v>
      </c>
      <c r="F31" s="31"/>
      <c r="G31" s="14">
        <f t="shared" si="6"/>
        <v>0</v>
      </c>
      <c r="H31" s="14">
        <f>IF(D31=0,0,Sizes!J13-d.rl)</f>
        <v>0</v>
      </c>
      <c r="I31" s="14">
        <f>IF(D31=0,0,Sizes!J13-d.sf)</f>
        <v>0</v>
      </c>
      <c r="J31" s="23">
        <f t="shared" si="7"/>
        <v>0</v>
      </c>
      <c r="K31" s="23">
        <f t="shared" si="4"/>
        <v>0</v>
      </c>
      <c r="L31" s="23"/>
      <c r="N31" s="30">
        <v>6</v>
      </c>
      <c r="O31" s="67"/>
      <c r="P31" s="36">
        <f>Sizes!I13</f>
        <v>0</v>
      </c>
      <c r="Q31" s="14">
        <f>IF(P31=0,0,Sizes!J13-d.pw)</f>
        <v>0</v>
      </c>
      <c r="R31" s="87">
        <f>IF(P31=0,0,Sizes!K13-d.pl)</f>
        <v>0</v>
      </c>
      <c r="S31" s="72">
        <f t="shared" si="5"/>
        <v>0</v>
      </c>
    </row>
    <row r="32" spans="1:19" ht="24.75" customHeight="1" x14ac:dyDescent="0.2">
      <c r="B32" s="30">
        <v>7</v>
      </c>
      <c r="C32" s="16"/>
      <c r="D32" s="14">
        <f>Sizes!I14*2</f>
        <v>0</v>
      </c>
      <c r="E32" s="14">
        <f>IF(D32=0,0,Sizes!K14-d.sl)</f>
        <v>0</v>
      </c>
      <c r="F32" s="31"/>
      <c r="G32" s="14">
        <f t="shared" si="6"/>
        <v>0</v>
      </c>
      <c r="H32" s="14">
        <f>IF(D32=0,0,Sizes!J14-d.rl)</f>
        <v>0</v>
      </c>
      <c r="I32" s="14">
        <f>IF(D32=0,0,Sizes!J14-d.sf)</f>
        <v>0</v>
      </c>
      <c r="J32" s="23">
        <f t="shared" si="7"/>
        <v>0</v>
      </c>
      <c r="K32" s="23">
        <f t="shared" si="4"/>
        <v>0</v>
      </c>
      <c r="L32" s="23"/>
      <c r="N32" s="30">
        <v>7</v>
      </c>
      <c r="O32" s="67"/>
      <c r="P32" s="36">
        <f>Sizes!I14</f>
        <v>0</v>
      </c>
      <c r="Q32" s="14">
        <f>IF(P32=0,0,Sizes!J14-d.pw)</f>
        <v>0</v>
      </c>
      <c r="R32" s="87">
        <f>IF(P32=0,0,Sizes!K14-d.pl)</f>
        <v>0</v>
      </c>
      <c r="S32" s="72">
        <f t="shared" si="5"/>
        <v>0</v>
      </c>
    </row>
    <row r="33" spans="1:19" ht="24.75" customHeight="1" x14ac:dyDescent="0.2">
      <c r="B33" s="30">
        <v>8</v>
      </c>
      <c r="C33" s="16"/>
      <c r="D33" s="14">
        <f>Sizes!I15*2</f>
        <v>0</v>
      </c>
      <c r="E33" s="14">
        <f>IF(D33=0,0,Sizes!K15-d.sl)</f>
        <v>0</v>
      </c>
      <c r="F33" s="31"/>
      <c r="G33" s="14">
        <f t="shared" si="6"/>
        <v>0</v>
      </c>
      <c r="H33" s="14">
        <f>IF(D33=0,0,Sizes!J15-d.rl)</f>
        <v>0</v>
      </c>
      <c r="I33" s="14">
        <f>IF(D33=0,0,Sizes!J15-d.sf)</f>
        <v>0</v>
      </c>
      <c r="J33" s="23">
        <f t="shared" si="7"/>
        <v>0</v>
      </c>
      <c r="K33" s="23">
        <f t="shared" si="4"/>
        <v>0</v>
      </c>
      <c r="L33" s="23"/>
      <c r="N33" s="30">
        <v>8</v>
      </c>
      <c r="O33" s="67"/>
      <c r="P33" s="36">
        <f>Sizes!I15</f>
        <v>0</v>
      </c>
      <c r="Q33" s="14">
        <f>IF(P33=0,0,Sizes!J15-d.pw)</f>
        <v>0</v>
      </c>
      <c r="R33" s="87">
        <f>IF(P33=0,0,Sizes!K15-d.pl)</f>
        <v>0</v>
      </c>
      <c r="S33" s="72">
        <f t="shared" si="5"/>
        <v>0</v>
      </c>
    </row>
    <row r="34" spans="1:19" ht="24.75" customHeight="1" x14ac:dyDescent="0.2">
      <c r="B34" s="30">
        <v>9</v>
      </c>
      <c r="C34" s="16"/>
      <c r="D34" s="14">
        <f>Sizes!I16*2</f>
        <v>0</v>
      </c>
      <c r="E34" s="14">
        <f>IF(D34=0,0,Sizes!K16-d.sl)</f>
        <v>0</v>
      </c>
      <c r="F34" s="31"/>
      <c r="G34" s="14">
        <f t="shared" si="6"/>
        <v>0</v>
      </c>
      <c r="H34" s="14">
        <f>IF(D34=0,0,Sizes!J16-d.rl)</f>
        <v>0</v>
      </c>
      <c r="I34" s="14">
        <f>IF(D34=0,0,Sizes!J16-d.sf)</f>
        <v>0</v>
      </c>
      <c r="J34" s="23">
        <f t="shared" si="7"/>
        <v>0</v>
      </c>
      <c r="K34" s="23">
        <f t="shared" si="4"/>
        <v>0</v>
      </c>
      <c r="L34" s="23"/>
      <c r="N34" s="30">
        <v>9</v>
      </c>
      <c r="O34" s="67"/>
      <c r="P34" s="36">
        <f>Sizes!I16</f>
        <v>0</v>
      </c>
      <c r="Q34" s="14">
        <f>IF(P34=0,0,Sizes!J16-d.pw)</f>
        <v>0</v>
      </c>
      <c r="R34" s="87">
        <f>IF(P34=0,0,Sizes!K16-d.pl)</f>
        <v>0</v>
      </c>
      <c r="S34" s="72">
        <f t="shared" si="5"/>
        <v>0</v>
      </c>
    </row>
    <row r="35" spans="1:19" ht="24.75" customHeight="1" x14ac:dyDescent="0.2">
      <c r="B35" s="30">
        <v>10</v>
      </c>
      <c r="C35" s="16"/>
      <c r="D35" s="14">
        <f>Sizes!I17*2</f>
        <v>0</v>
      </c>
      <c r="E35" s="14">
        <f>IF(D35=0,0,Sizes!K17-d.sl)</f>
        <v>0</v>
      </c>
      <c r="F35" s="31"/>
      <c r="G35" s="14">
        <f t="shared" si="6"/>
        <v>0</v>
      </c>
      <c r="H35" s="14">
        <f>IF(D35=0,0,Sizes!J17-d.rl)</f>
        <v>0</v>
      </c>
      <c r="I35" s="14">
        <f>IF(D35=0,0,Sizes!J17-d.sf)</f>
        <v>0</v>
      </c>
      <c r="J35" s="23">
        <f t="shared" si="7"/>
        <v>0</v>
      </c>
      <c r="K35" s="23">
        <f t="shared" si="4"/>
        <v>0</v>
      </c>
      <c r="L35" s="23"/>
      <c r="N35" s="30">
        <v>10</v>
      </c>
      <c r="O35" s="67"/>
      <c r="P35" s="36">
        <f>Sizes!I17</f>
        <v>0</v>
      </c>
      <c r="Q35" s="14">
        <f>IF(P35=0,0,Sizes!J17-d.pw)</f>
        <v>0</v>
      </c>
      <c r="R35" s="87">
        <f>IF(P35=0,0,Sizes!K17-d.pl)</f>
        <v>0</v>
      </c>
      <c r="S35" s="72">
        <f t="shared" si="5"/>
        <v>0</v>
      </c>
    </row>
    <row r="36" spans="1:19" ht="24.75" customHeight="1" x14ac:dyDescent="0.2">
      <c r="B36" s="30">
        <v>11</v>
      </c>
      <c r="C36" s="16"/>
      <c r="D36" s="14">
        <f>Sizes!I18*2</f>
        <v>0</v>
      </c>
      <c r="E36" s="14">
        <f>IF(D36=0,0,Sizes!K18-d.sl)</f>
        <v>0</v>
      </c>
      <c r="F36" s="31"/>
      <c r="G36" s="14">
        <f t="shared" si="6"/>
        <v>0</v>
      </c>
      <c r="H36" s="14">
        <f>IF(D36=0,0,Sizes!J18-d.rl)</f>
        <v>0</v>
      </c>
      <c r="I36" s="14">
        <f>IF(D36=0,0,Sizes!J18-d.sf)</f>
        <v>0</v>
      </c>
      <c r="J36" s="23">
        <f t="shared" si="7"/>
        <v>0</v>
      </c>
      <c r="K36" s="23">
        <f t="shared" si="4"/>
        <v>0</v>
      </c>
      <c r="L36" s="23"/>
      <c r="N36" s="30">
        <v>11</v>
      </c>
      <c r="O36" s="67"/>
      <c r="P36" s="36">
        <f>Sizes!I18</f>
        <v>0</v>
      </c>
      <c r="Q36" s="14">
        <f>IF(P36=0,0,Sizes!J18-d.pw)</f>
        <v>0</v>
      </c>
      <c r="R36" s="87">
        <f>IF(P36=0,0,Sizes!K18-d.pl)</f>
        <v>0</v>
      </c>
      <c r="S36" s="72">
        <f t="shared" si="5"/>
        <v>0</v>
      </c>
    </row>
    <row r="37" spans="1:19" ht="24.75" customHeight="1" x14ac:dyDescent="0.2">
      <c r="B37" s="30">
        <v>12</v>
      </c>
      <c r="C37" s="16"/>
      <c r="D37" s="14">
        <f>Sizes!I19*2</f>
        <v>0</v>
      </c>
      <c r="E37" s="14">
        <f>IF(D37=0,0,Sizes!K19-d.sl)</f>
        <v>0</v>
      </c>
      <c r="F37" s="31"/>
      <c r="G37" s="14">
        <f t="shared" si="6"/>
        <v>0</v>
      </c>
      <c r="H37" s="14">
        <f>IF(D37=0,0,Sizes!J19-d.rl)</f>
        <v>0</v>
      </c>
      <c r="I37" s="14">
        <f>IF(D37=0,0,Sizes!J19-d.sf)</f>
        <v>0</v>
      </c>
      <c r="J37" s="23">
        <f t="shared" si="7"/>
        <v>0</v>
      </c>
      <c r="K37" s="23">
        <f t="shared" si="4"/>
        <v>0</v>
      </c>
      <c r="L37" s="23"/>
      <c r="N37" s="30">
        <v>12</v>
      </c>
      <c r="O37" s="67"/>
      <c r="P37" s="36">
        <f>Sizes!I19</f>
        <v>0</v>
      </c>
      <c r="Q37" s="14">
        <f>IF(P37=0,0,Sizes!J19-d.pw)</f>
        <v>0</v>
      </c>
      <c r="R37" s="87">
        <f>IF(P37=0,0,Sizes!K19-d.pl)</f>
        <v>0</v>
      </c>
      <c r="S37" s="72">
        <f t="shared" si="5"/>
        <v>0</v>
      </c>
    </row>
    <row r="38" spans="1:19" ht="24.75" customHeight="1" x14ac:dyDescent="0.2">
      <c r="B38" s="30">
        <v>13</v>
      </c>
      <c r="C38" s="16"/>
      <c r="D38" s="14">
        <f>Sizes!I20*2</f>
        <v>0</v>
      </c>
      <c r="E38" s="14">
        <f>IF(D38=0,0,Sizes!K20-d.sl)</f>
        <v>0</v>
      </c>
      <c r="F38" s="31"/>
      <c r="G38" s="14">
        <f t="shared" si="6"/>
        <v>0</v>
      </c>
      <c r="H38" s="14">
        <f>IF(D38=0,0,Sizes!J20-d.rl)</f>
        <v>0</v>
      </c>
      <c r="I38" s="14">
        <f>IF(D38=0,0,Sizes!J20-d.sf)</f>
        <v>0</v>
      </c>
      <c r="J38" s="23">
        <f t="shared" si="7"/>
        <v>0</v>
      </c>
      <c r="K38" s="23">
        <f t="shared" si="4"/>
        <v>0</v>
      </c>
      <c r="L38" s="23"/>
      <c r="N38" s="30">
        <v>13</v>
      </c>
      <c r="O38" s="67"/>
      <c r="P38" s="36">
        <f>Sizes!I20</f>
        <v>0</v>
      </c>
      <c r="Q38" s="14">
        <f>IF(P38=0,0,Sizes!J20-d.pw)</f>
        <v>0</v>
      </c>
      <c r="R38" s="87">
        <f>IF(P38=0,0,Sizes!K20-d.pl)</f>
        <v>0</v>
      </c>
      <c r="S38" s="72">
        <f t="shared" si="5"/>
        <v>0</v>
      </c>
    </row>
    <row r="39" spans="1:19" ht="24.75" customHeight="1" x14ac:dyDescent="0.2">
      <c r="B39" s="30">
        <v>14</v>
      </c>
      <c r="C39" s="16"/>
      <c r="D39" s="14">
        <f>Sizes!I21*2</f>
        <v>0</v>
      </c>
      <c r="E39" s="14">
        <f>IF(D39=0,0,Sizes!K21-d.sl)</f>
        <v>0</v>
      </c>
      <c r="F39" s="31"/>
      <c r="G39" s="14">
        <f t="shared" si="6"/>
        <v>0</v>
      </c>
      <c r="H39" s="14">
        <f>IF(D39=0,0,Sizes!J21-d.rl)</f>
        <v>0</v>
      </c>
      <c r="I39" s="14">
        <f>IF(D39=0,0,Sizes!J21-d.sf)</f>
        <v>0</v>
      </c>
      <c r="J39" s="23">
        <f t="shared" si="7"/>
        <v>0</v>
      </c>
      <c r="K39" s="23">
        <f t="shared" si="4"/>
        <v>0</v>
      </c>
      <c r="L39" s="23"/>
      <c r="N39" s="30">
        <v>14</v>
      </c>
      <c r="O39" s="67"/>
      <c r="P39" s="36">
        <f>Sizes!I21</f>
        <v>0</v>
      </c>
      <c r="Q39" s="14">
        <f>IF(P39=0,0,Sizes!J21-d.pw)</f>
        <v>0</v>
      </c>
      <c r="R39" s="87">
        <f>IF(P39=0,0,Sizes!K21-d.pl)</f>
        <v>0</v>
      </c>
      <c r="S39" s="72">
        <f t="shared" si="5"/>
        <v>0</v>
      </c>
    </row>
    <row r="40" spans="1:19" ht="24.75" customHeight="1" x14ac:dyDescent="0.2">
      <c r="B40" s="30">
        <v>15</v>
      </c>
      <c r="C40" s="32"/>
      <c r="D40" s="14">
        <f>Sizes!I22*2</f>
        <v>0</v>
      </c>
      <c r="E40" s="14">
        <f>IF(D40=0,0,Sizes!K22-d.sl)</f>
        <v>0</v>
      </c>
      <c r="F40" s="31"/>
      <c r="G40" s="14">
        <f t="shared" si="6"/>
        <v>0</v>
      </c>
      <c r="H40" s="14">
        <f>IF(D40=0,0,Sizes!J22-d.rl)</f>
        <v>0</v>
      </c>
      <c r="I40" s="14">
        <f>IF(D40=0,0,Sizes!J22-d.sf)</f>
        <v>0</v>
      </c>
      <c r="J40" s="23">
        <f t="shared" si="7"/>
        <v>0</v>
      </c>
      <c r="K40" s="23">
        <f t="shared" si="4"/>
        <v>0</v>
      </c>
      <c r="L40" s="23"/>
      <c r="N40" s="30">
        <v>15</v>
      </c>
      <c r="O40" s="68"/>
      <c r="P40" s="36">
        <f>Sizes!I22</f>
        <v>0</v>
      </c>
      <c r="Q40" s="14">
        <f>IF(P40=0,0,Sizes!J22-d.pw)</f>
        <v>0</v>
      </c>
      <c r="R40" s="87">
        <f>IF(P40=0,0,Sizes!K22-d.pl)</f>
        <v>0</v>
      </c>
      <c r="S40" s="72">
        <f t="shared" si="5"/>
        <v>0</v>
      </c>
    </row>
    <row r="41" spans="1:19" ht="24.75" customHeight="1" x14ac:dyDescent="0.2">
      <c r="C41" s="35"/>
      <c r="D41" s="35"/>
      <c r="E41" s="24"/>
      <c r="F41" s="24"/>
      <c r="G41" s="24"/>
      <c r="H41" s="88"/>
      <c r="I41" s="24"/>
      <c r="J41" s="71">
        <f>SUM(J26:J40)</f>
        <v>0</v>
      </c>
      <c r="K41" s="71">
        <f>SUM(K26:K40)</f>
        <v>0</v>
      </c>
      <c r="L41" s="24"/>
      <c r="N41" s="29"/>
      <c r="O41" s="29"/>
      <c r="P41" s="15" t="s">
        <v>356</v>
      </c>
      <c r="Q41" s="25"/>
      <c r="R41" s="25"/>
      <c r="S41" s="75">
        <f>SUM(S26:S40)</f>
        <v>0</v>
      </c>
    </row>
    <row r="42" spans="1:19" ht="24.75" customHeight="1" x14ac:dyDescent="0.2">
      <c r="A42" s="8" t="s">
        <v>175</v>
      </c>
      <c r="B42" s="30">
        <v>1</v>
      </c>
      <c r="C42" s="31"/>
      <c r="D42" s="14">
        <f>Sizes!M8*2</f>
        <v>0</v>
      </c>
      <c r="E42" s="14">
        <f>IF(D42=0,0,Sizes!O8-d.sl)</f>
        <v>0</v>
      </c>
      <c r="F42" s="31"/>
      <c r="G42" s="14">
        <f>D42</f>
        <v>0</v>
      </c>
      <c r="H42" s="14">
        <f>IF(D42=0,0,Sizes!N8-d.rl)</f>
        <v>0</v>
      </c>
      <c r="I42" s="14">
        <f>IF(D42=0,0,Sizes!N8-d.sf)</f>
        <v>0</v>
      </c>
      <c r="J42" s="23">
        <f>D42*E42</f>
        <v>0</v>
      </c>
      <c r="K42" s="23">
        <f t="shared" si="4"/>
        <v>0</v>
      </c>
      <c r="L42" s="23"/>
      <c r="M42" s="8" t="s">
        <v>175</v>
      </c>
      <c r="N42" s="30">
        <v>1</v>
      </c>
      <c r="O42" s="66"/>
      <c r="P42" s="14">
        <f>Sizes!M8</f>
        <v>0</v>
      </c>
      <c r="Q42" s="14">
        <f>IF(P42=0,0,Sizes!O8-d.pw5)</f>
        <v>0</v>
      </c>
      <c r="R42" s="14">
        <f>IF(P42=0,0,Sizes!N8-d.pl5)</f>
        <v>0</v>
      </c>
      <c r="S42" s="72">
        <f t="shared" si="5"/>
        <v>0</v>
      </c>
    </row>
    <row r="43" spans="1:19" ht="24.75" customHeight="1" x14ac:dyDescent="0.2">
      <c r="A43" s="8" t="s">
        <v>172</v>
      </c>
      <c r="B43" s="30">
        <v>2</v>
      </c>
      <c r="C43" s="16"/>
      <c r="D43" s="14">
        <f>Sizes!M9*2</f>
        <v>0</v>
      </c>
      <c r="E43" s="14">
        <f>IF(D43=0,0,Sizes!O9-d.sl)</f>
        <v>0</v>
      </c>
      <c r="F43" s="31"/>
      <c r="G43" s="14">
        <f t="shared" ref="G43:G51" si="8">D43</f>
        <v>0</v>
      </c>
      <c r="H43" s="14">
        <f>IF(D43=0,0,Sizes!N9-d.rl)</f>
        <v>0</v>
      </c>
      <c r="I43" s="14">
        <f>IF(D43=0,0,Sizes!N9-d.sf)</f>
        <v>0</v>
      </c>
      <c r="J43" s="23">
        <f t="shared" ref="J43:J51" si="9">D43*E43</f>
        <v>0</v>
      </c>
      <c r="K43" s="23">
        <f t="shared" si="4"/>
        <v>0</v>
      </c>
      <c r="L43" s="23"/>
      <c r="M43" s="8" t="s">
        <v>172</v>
      </c>
      <c r="N43" s="30">
        <v>2</v>
      </c>
      <c r="O43" s="67"/>
      <c r="P43" s="14">
        <f>Sizes!M9</f>
        <v>0</v>
      </c>
      <c r="Q43" s="14">
        <f>IF(P43=0,0,Sizes!O9-d.pw5)</f>
        <v>0</v>
      </c>
      <c r="R43" s="14">
        <f>IF(P43=0,0,Sizes!N9-d.pl5)</f>
        <v>0</v>
      </c>
      <c r="S43" s="72">
        <f t="shared" si="5"/>
        <v>0</v>
      </c>
    </row>
    <row r="44" spans="1:19" ht="24.75" customHeight="1" x14ac:dyDescent="0.2">
      <c r="A44" s="8">
        <f>I4</f>
        <v>0</v>
      </c>
      <c r="B44" s="30">
        <v>3</v>
      </c>
      <c r="C44" s="16"/>
      <c r="D44" s="14">
        <f>Sizes!M10*2</f>
        <v>0</v>
      </c>
      <c r="E44" s="14">
        <f>IF(D44=0,0,Sizes!O10-d.sl)</f>
        <v>0</v>
      </c>
      <c r="F44" s="31"/>
      <c r="G44" s="14">
        <f t="shared" si="8"/>
        <v>0</v>
      </c>
      <c r="H44" s="14">
        <f>IF(D44=0,0,Sizes!N10-d.rl)</f>
        <v>0</v>
      </c>
      <c r="I44" s="14">
        <f>IF(D44=0,0,Sizes!N10-d.sf)</f>
        <v>0</v>
      </c>
      <c r="J44" s="23">
        <f t="shared" si="9"/>
        <v>0</v>
      </c>
      <c r="K44" s="23">
        <f t="shared" si="4"/>
        <v>0</v>
      </c>
      <c r="L44" s="23"/>
      <c r="M44" s="8">
        <f>I4</f>
        <v>0</v>
      </c>
      <c r="N44" s="30">
        <v>3</v>
      </c>
      <c r="O44" s="67"/>
      <c r="P44" s="14">
        <f>Sizes!M10</f>
        <v>0</v>
      </c>
      <c r="Q44" s="14">
        <f>IF(P44=0,0,Sizes!O10-d.pw5)</f>
        <v>0</v>
      </c>
      <c r="R44" s="14">
        <f>IF(P44=0,0,Sizes!N10-d.pl5)</f>
        <v>0</v>
      </c>
      <c r="S44" s="72">
        <f t="shared" si="5"/>
        <v>0</v>
      </c>
    </row>
    <row r="45" spans="1:19" ht="24.75" customHeight="1" x14ac:dyDescent="0.2">
      <c r="B45" s="30">
        <v>4</v>
      </c>
      <c r="C45" s="16"/>
      <c r="D45" s="14">
        <f>Sizes!M11*2</f>
        <v>0</v>
      </c>
      <c r="E45" s="14">
        <f>IF(D45=0,0,Sizes!O11-d.sl)</f>
        <v>0</v>
      </c>
      <c r="F45" s="31"/>
      <c r="G45" s="14">
        <f t="shared" si="8"/>
        <v>0</v>
      </c>
      <c r="H45" s="14">
        <f>IF(D45=0,0,Sizes!N11-d.rl)</f>
        <v>0</v>
      </c>
      <c r="I45" s="14">
        <f>IF(D45=0,0,Sizes!N11-d.sf)</f>
        <v>0</v>
      </c>
      <c r="J45" s="23">
        <f t="shared" si="9"/>
        <v>0</v>
      </c>
      <c r="K45" s="23">
        <f t="shared" si="4"/>
        <v>0</v>
      </c>
      <c r="L45" s="23"/>
      <c r="N45" s="30">
        <v>4</v>
      </c>
      <c r="O45" s="67"/>
      <c r="P45" s="14">
        <f>Sizes!M11</f>
        <v>0</v>
      </c>
      <c r="Q45" s="14">
        <f>IF(P45=0,0,Sizes!O11-d.pw5)</f>
        <v>0</v>
      </c>
      <c r="R45" s="14">
        <f>IF(P45=0,0,Sizes!N11-d.pl5)</f>
        <v>0</v>
      </c>
      <c r="S45" s="72">
        <f t="shared" si="5"/>
        <v>0</v>
      </c>
    </row>
    <row r="46" spans="1:19" ht="24.75" customHeight="1" x14ac:dyDescent="0.2">
      <c r="B46" s="30">
        <v>5</v>
      </c>
      <c r="C46" s="16"/>
      <c r="D46" s="14">
        <f>Sizes!M12*2</f>
        <v>0</v>
      </c>
      <c r="E46" s="14">
        <f>IF(D46=0,0,Sizes!O12-d.sl)</f>
        <v>0</v>
      </c>
      <c r="F46" s="31"/>
      <c r="G46" s="14">
        <f t="shared" si="8"/>
        <v>0</v>
      </c>
      <c r="H46" s="14">
        <f>IF(D46=0,0,Sizes!N12-d.rl)</f>
        <v>0</v>
      </c>
      <c r="I46" s="14">
        <f>IF(D46=0,0,Sizes!N12-d.sf)</f>
        <v>0</v>
      </c>
      <c r="J46" s="23">
        <f t="shared" si="9"/>
        <v>0</v>
      </c>
      <c r="K46" s="23">
        <f t="shared" si="4"/>
        <v>0</v>
      </c>
      <c r="L46" s="23"/>
      <c r="N46" s="30">
        <v>5</v>
      </c>
      <c r="O46" s="67"/>
      <c r="P46" s="14">
        <f>Sizes!M12</f>
        <v>0</v>
      </c>
      <c r="Q46" s="14">
        <f>IF(P46=0,0,Sizes!O12-d.pw5)</f>
        <v>0</v>
      </c>
      <c r="R46" s="14">
        <f>IF(P46=0,0,Sizes!N12-d.pl5)</f>
        <v>0</v>
      </c>
      <c r="S46" s="72">
        <f t="shared" si="5"/>
        <v>0</v>
      </c>
    </row>
    <row r="47" spans="1:19" ht="24.75" customHeight="1" x14ac:dyDescent="0.2">
      <c r="B47" s="30">
        <v>6</v>
      </c>
      <c r="C47" s="16"/>
      <c r="D47" s="14">
        <f>Sizes!M13*2</f>
        <v>0</v>
      </c>
      <c r="E47" s="14">
        <f>IF(D47=0,0,Sizes!O13-d.sl)</f>
        <v>0</v>
      </c>
      <c r="F47" s="31"/>
      <c r="G47" s="14">
        <f t="shared" si="8"/>
        <v>0</v>
      </c>
      <c r="H47" s="14">
        <f>IF(D47=0,0,Sizes!N13-d.rl)</f>
        <v>0</v>
      </c>
      <c r="I47" s="14">
        <f>IF(D47=0,0,Sizes!N13-d.sf)</f>
        <v>0</v>
      </c>
      <c r="J47" s="23">
        <f t="shared" si="9"/>
        <v>0</v>
      </c>
      <c r="K47" s="23">
        <f t="shared" si="4"/>
        <v>0</v>
      </c>
      <c r="L47" s="23"/>
      <c r="N47" s="30">
        <v>6</v>
      </c>
      <c r="O47" s="67"/>
      <c r="P47" s="14">
        <f>Sizes!M13</f>
        <v>0</v>
      </c>
      <c r="Q47" s="14">
        <f>IF(P47=0,0,Sizes!O13-d.pw5)</f>
        <v>0</v>
      </c>
      <c r="R47" s="14">
        <f>IF(P47=0,0,Sizes!N13-d.pl5)</f>
        <v>0</v>
      </c>
      <c r="S47" s="72">
        <f t="shared" si="5"/>
        <v>0</v>
      </c>
    </row>
    <row r="48" spans="1:19" ht="24.75" customHeight="1" x14ac:dyDescent="0.2">
      <c r="B48" s="30">
        <v>7</v>
      </c>
      <c r="C48" s="16"/>
      <c r="D48" s="14">
        <f>Sizes!M14*2</f>
        <v>0</v>
      </c>
      <c r="E48" s="14">
        <f>IF(D48=0,0,Sizes!O14-d.sl)</f>
        <v>0</v>
      </c>
      <c r="F48" s="31"/>
      <c r="G48" s="14">
        <f t="shared" si="8"/>
        <v>0</v>
      </c>
      <c r="H48" s="14">
        <f>IF(D48=0,0,Sizes!N14-d.rl)</f>
        <v>0</v>
      </c>
      <c r="I48" s="14">
        <f>IF(D48=0,0,Sizes!N14-d.sf)</f>
        <v>0</v>
      </c>
      <c r="J48" s="23">
        <f t="shared" si="9"/>
        <v>0</v>
      </c>
      <c r="K48" s="23">
        <f t="shared" si="4"/>
        <v>0</v>
      </c>
      <c r="L48" s="23"/>
      <c r="N48" s="30">
        <v>7</v>
      </c>
      <c r="O48" s="67"/>
      <c r="P48" s="14">
        <f>Sizes!M14</f>
        <v>0</v>
      </c>
      <c r="Q48" s="14">
        <f>IF(P48=0,0,Sizes!O14-d.pw5)</f>
        <v>0</v>
      </c>
      <c r="R48" s="14">
        <f>IF(P48=0,0,Sizes!N14-d.pl5)</f>
        <v>0</v>
      </c>
      <c r="S48" s="72">
        <f t="shared" si="5"/>
        <v>0</v>
      </c>
    </row>
    <row r="49" spans="1:19" ht="24.75" customHeight="1" x14ac:dyDescent="0.2">
      <c r="B49" s="30">
        <v>8</v>
      </c>
      <c r="C49" s="16"/>
      <c r="D49" s="14">
        <f>Sizes!M15*2</f>
        <v>0</v>
      </c>
      <c r="E49" s="14">
        <f>IF(D49=0,0,Sizes!O15-d.sl)</f>
        <v>0</v>
      </c>
      <c r="F49" s="31"/>
      <c r="G49" s="14">
        <f t="shared" si="8"/>
        <v>0</v>
      </c>
      <c r="H49" s="14">
        <f>IF(D49=0,0,Sizes!N15-d.rl)</f>
        <v>0</v>
      </c>
      <c r="I49" s="14">
        <f>IF(D49=0,0,Sizes!N15-d.sf)</f>
        <v>0</v>
      </c>
      <c r="J49" s="23">
        <f t="shared" si="9"/>
        <v>0</v>
      </c>
      <c r="K49" s="23">
        <f t="shared" si="4"/>
        <v>0</v>
      </c>
      <c r="L49" s="23"/>
      <c r="N49" s="30">
        <v>8</v>
      </c>
      <c r="O49" s="67"/>
      <c r="P49" s="14">
        <f>Sizes!M15</f>
        <v>0</v>
      </c>
      <c r="Q49" s="14">
        <f>IF(P49=0,0,Sizes!O15-d.pw5)</f>
        <v>0</v>
      </c>
      <c r="R49" s="14">
        <f>IF(P49=0,0,Sizes!N15-d.pl5)</f>
        <v>0</v>
      </c>
      <c r="S49" s="72">
        <f t="shared" si="5"/>
        <v>0</v>
      </c>
    </row>
    <row r="50" spans="1:19" ht="24.75" customHeight="1" x14ac:dyDescent="0.2">
      <c r="B50" s="30">
        <v>9</v>
      </c>
      <c r="C50" s="16"/>
      <c r="D50" s="14">
        <f>Sizes!M16*2</f>
        <v>0</v>
      </c>
      <c r="E50" s="14">
        <f>IF(D50=0,0,Sizes!O16-d.sl)</f>
        <v>0</v>
      </c>
      <c r="F50" s="31"/>
      <c r="G50" s="14">
        <f t="shared" si="8"/>
        <v>0</v>
      </c>
      <c r="H50" s="14">
        <f>IF(D50=0,0,Sizes!N16-d.rl)</f>
        <v>0</v>
      </c>
      <c r="I50" s="14">
        <f>IF(D50=0,0,Sizes!N16-d.sf)</f>
        <v>0</v>
      </c>
      <c r="J50" s="23">
        <f t="shared" si="9"/>
        <v>0</v>
      </c>
      <c r="K50" s="23">
        <f t="shared" si="4"/>
        <v>0</v>
      </c>
      <c r="L50" s="23"/>
      <c r="N50" s="30">
        <v>9</v>
      </c>
      <c r="O50" s="67"/>
      <c r="P50" s="14">
        <f>Sizes!M16</f>
        <v>0</v>
      </c>
      <c r="Q50" s="14">
        <f>IF(P50=0,0,Sizes!O16-d.pw5)</f>
        <v>0</v>
      </c>
      <c r="R50" s="14">
        <f>IF(P50=0,0,Sizes!N16-d.pl5)</f>
        <v>0</v>
      </c>
      <c r="S50" s="72">
        <f t="shared" si="5"/>
        <v>0</v>
      </c>
    </row>
    <row r="51" spans="1:19" ht="24.75" customHeight="1" x14ac:dyDescent="0.2">
      <c r="B51" s="30">
        <v>10</v>
      </c>
      <c r="C51" s="16"/>
      <c r="D51" s="14">
        <f>Sizes!M17*2</f>
        <v>0</v>
      </c>
      <c r="E51" s="14">
        <f>IF(D51=0,0,Sizes!O17-d.sl)</f>
        <v>0</v>
      </c>
      <c r="F51" s="31"/>
      <c r="G51" s="14">
        <f t="shared" si="8"/>
        <v>0</v>
      </c>
      <c r="H51" s="14">
        <f>IF(D51=0,0,Sizes!N17-d.rl)</f>
        <v>0</v>
      </c>
      <c r="I51" s="14">
        <f>IF(D51=0,0,Sizes!N17-d.sf)</f>
        <v>0</v>
      </c>
      <c r="J51" s="23">
        <f t="shared" si="9"/>
        <v>0</v>
      </c>
      <c r="K51" s="23">
        <f t="shared" si="4"/>
        <v>0</v>
      </c>
      <c r="L51" s="23"/>
      <c r="N51" s="30">
        <v>10</v>
      </c>
      <c r="O51" s="67"/>
      <c r="P51" s="14">
        <f>Sizes!M17</f>
        <v>0</v>
      </c>
      <c r="Q51" s="14">
        <f>IF(P51=0,0,Sizes!O17-d.pw5)</f>
        <v>0</v>
      </c>
      <c r="R51" s="14">
        <f>IF(P51=0,0,Sizes!N17-d.pl5)</f>
        <v>0</v>
      </c>
      <c r="S51" s="72">
        <f t="shared" si="5"/>
        <v>0</v>
      </c>
    </row>
    <row r="52" spans="1:19" ht="24.75" customHeight="1" x14ac:dyDescent="0.2">
      <c r="C52" s="35"/>
      <c r="D52" s="35"/>
      <c r="E52" s="35"/>
      <c r="F52" s="35"/>
      <c r="G52" s="35"/>
      <c r="H52" s="23"/>
      <c r="I52" s="35"/>
      <c r="J52" s="69">
        <f>SUM(J42:J51)</f>
        <v>0</v>
      </c>
      <c r="K52" s="69">
        <f>SUM(K42:K51)</f>
        <v>0</v>
      </c>
      <c r="L52" s="86"/>
      <c r="N52" s="29"/>
      <c r="O52" s="29"/>
      <c r="P52" s="15"/>
      <c r="Q52" s="35"/>
      <c r="R52" s="35"/>
      <c r="S52" s="75">
        <f>SUM(S42:S51)</f>
        <v>0</v>
      </c>
    </row>
    <row r="53" spans="1:19" ht="24.75" customHeight="1" x14ac:dyDescent="0.2">
      <c r="B53"/>
      <c r="C53"/>
      <c r="D53"/>
      <c r="E53"/>
      <c r="F53"/>
      <c r="G53"/>
      <c r="H53" s="23"/>
      <c r="I53"/>
      <c r="J53" s="11"/>
      <c r="K53" s="11"/>
      <c r="L53" s="11"/>
      <c r="M53" s="8" t="s">
        <v>177</v>
      </c>
      <c r="N53" s="30">
        <v>1</v>
      </c>
      <c r="O53" s="66"/>
      <c r="P53" s="14">
        <f>Sizes!M22</f>
        <v>0</v>
      </c>
      <c r="Q53" s="14">
        <f>IF(P53=0,0,Sizes!O22+2)</f>
        <v>0</v>
      </c>
      <c r="R53" s="14">
        <f>IF(P53=0,0,Sizes!N22+2)</f>
        <v>0</v>
      </c>
      <c r="S53" s="72">
        <f t="shared" si="5"/>
        <v>0</v>
      </c>
    </row>
    <row r="54" spans="1:19" ht="24.75" customHeight="1" x14ac:dyDescent="0.2">
      <c r="B54"/>
      <c r="C54"/>
      <c r="D54"/>
      <c r="E54"/>
      <c r="F54"/>
      <c r="G54"/>
      <c r="H54" s="23"/>
      <c r="I54"/>
      <c r="J54" s="11"/>
      <c r="K54" s="11"/>
      <c r="L54" s="11"/>
      <c r="M54" s="8" t="s">
        <v>172</v>
      </c>
      <c r="N54" s="30">
        <v>2</v>
      </c>
      <c r="O54" s="67"/>
      <c r="P54" s="14">
        <f>Sizes!M23</f>
        <v>0</v>
      </c>
      <c r="Q54" s="14">
        <f>IF(P54=0,0,Sizes!O23+2)</f>
        <v>0</v>
      </c>
      <c r="R54" s="14">
        <f>IF(P54=0,0,Sizes!N23+2)</f>
        <v>0</v>
      </c>
      <c r="S54" s="72">
        <f t="shared" si="5"/>
        <v>0</v>
      </c>
    </row>
    <row r="55" spans="1:19" ht="24.75" customHeight="1" x14ac:dyDescent="0.2">
      <c r="B55"/>
      <c r="C55"/>
      <c r="D55"/>
      <c r="E55"/>
      <c r="F55"/>
      <c r="G55"/>
      <c r="H55" s="23"/>
      <c r="I55"/>
      <c r="J55" s="11"/>
      <c r="K55" s="11"/>
      <c r="L55" s="11"/>
      <c r="N55" s="30">
        <v>3</v>
      </c>
      <c r="O55" s="67"/>
      <c r="P55" s="14">
        <f>Sizes!M24</f>
        <v>0</v>
      </c>
      <c r="Q55" s="14">
        <f>IF(P55=0,0,Sizes!O24+2)</f>
        <v>0</v>
      </c>
      <c r="R55" s="14">
        <f>IF(P55=0,0,Sizes!N24+2)</f>
        <v>0</v>
      </c>
      <c r="S55" s="72">
        <f t="shared" si="5"/>
        <v>0</v>
      </c>
    </row>
    <row r="56" spans="1:19" ht="24.75" customHeight="1" x14ac:dyDescent="0.2">
      <c r="B56"/>
      <c r="C56"/>
      <c r="D56"/>
      <c r="E56"/>
      <c r="F56"/>
      <c r="G56"/>
      <c r="H56" s="23"/>
      <c r="I56"/>
      <c r="J56" s="11"/>
      <c r="K56" s="11"/>
      <c r="L56" s="11"/>
      <c r="N56" s="30">
        <v>4</v>
      </c>
      <c r="O56" s="67"/>
      <c r="P56" s="14">
        <f>Sizes!M25</f>
        <v>0</v>
      </c>
      <c r="Q56" s="14">
        <f>IF(P56=0,0,Sizes!O25+2)</f>
        <v>0</v>
      </c>
      <c r="R56" s="14">
        <f>IF(P56=0,0,Sizes!N25+2)</f>
        <v>0</v>
      </c>
      <c r="S56" s="72">
        <f t="shared" si="5"/>
        <v>0</v>
      </c>
    </row>
    <row r="57" spans="1:19" ht="24.75" customHeight="1" x14ac:dyDescent="0.2">
      <c r="B57"/>
      <c r="C57"/>
      <c r="D57"/>
      <c r="E57"/>
      <c r="F57"/>
      <c r="G57"/>
      <c r="H57" s="23"/>
      <c r="I57"/>
      <c r="J57" s="11"/>
      <c r="K57" s="11"/>
      <c r="L57" s="11"/>
      <c r="N57" s="30">
        <v>5</v>
      </c>
      <c r="O57" s="67"/>
      <c r="P57" s="14">
        <f>Sizes!M26</f>
        <v>0</v>
      </c>
      <c r="Q57" s="14">
        <f>IF(P57=0,0,Sizes!O26+2)</f>
        <v>0</v>
      </c>
      <c r="R57" s="14">
        <f>IF(P57=0,0,Sizes!N26+2)</f>
        <v>0</v>
      </c>
      <c r="S57" s="72">
        <f t="shared" si="5"/>
        <v>0</v>
      </c>
    </row>
    <row r="58" spans="1:19" ht="24.75" customHeight="1" x14ac:dyDescent="0.2">
      <c r="B58"/>
      <c r="C58"/>
      <c r="D58"/>
      <c r="E58"/>
      <c r="F58"/>
      <c r="G58"/>
      <c r="H58" s="23"/>
      <c r="I58"/>
      <c r="J58" s="11"/>
      <c r="K58" s="11"/>
      <c r="L58" s="11"/>
      <c r="N58" s="30">
        <v>6</v>
      </c>
      <c r="O58" s="67"/>
      <c r="P58" s="14">
        <f>Sizes!M27</f>
        <v>0</v>
      </c>
      <c r="Q58" s="14">
        <f>IF(P58=0,0,Sizes!O27+2)</f>
        <v>0</v>
      </c>
      <c r="R58" s="14">
        <f>IF(P58=0,0,Sizes!N27+2)</f>
        <v>0</v>
      </c>
      <c r="S58" s="72">
        <f t="shared" si="5"/>
        <v>0</v>
      </c>
    </row>
    <row r="59" spans="1:19" ht="24.75" customHeight="1" x14ac:dyDescent="0.2">
      <c r="B59"/>
      <c r="C59"/>
      <c r="D59"/>
      <c r="E59"/>
      <c r="F59"/>
      <c r="G59"/>
      <c r="H59" s="23"/>
      <c r="I59"/>
      <c r="J59" s="11"/>
      <c r="K59" s="11"/>
      <c r="L59" s="11"/>
      <c r="N59" s="30">
        <v>7</v>
      </c>
      <c r="O59" s="67"/>
      <c r="P59" s="14">
        <f>Sizes!M28</f>
        <v>0</v>
      </c>
      <c r="Q59" s="14">
        <f>IF(P59=0,0,Sizes!O28+2)</f>
        <v>0</v>
      </c>
      <c r="R59" s="14">
        <f>IF(P59=0,0,Sizes!N28+2)</f>
        <v>0</v>
      </c>
      <c r="S59" s="72">
        <f t="shared" si="5"/>
        <v>0</v>
      </c>
    </row>
    <row r="60" spans="1:19" ht="24.75" customHeight="1" x14ac:dyDescent="0.2">
      <c r="B60"/>
      <c r="C60"/>
      <c r="D60"/>
      <c r="E60"/>
      <c r="F60"/>
      <c r="G60"/>
      <c r="H60" s="23"/>
      <c r="I60"/>
      <c r="J60" s="11"/>
      <c r="K60" s="11"/>
      <c r="L60" s="11"/>
      <c r="N60" s="30">
        <v>8</v>
      </c>
      <c r="O60" s="67"/>
      <c r="P60" s="14">
        <f>Sizes!M29</f>
        <v>0</v>
      </c>
      <c r="Q60" s="14">
        <f>IF(P60=0,0,Sizes!O29+2)</f>
        <v>0</v>
      </c>
      <c r="R60" s="14">
        <f>IF(P60=0,0,Sizes!N29+2)</f>
        <v>0</v>
      </c>
      <c r="S60" s="72">
        <f t="shared" si="5"/>
        <v>0</v>
      </c>
    </row>
    <row r="61" spans="1:19" ht="24.75" customHeight="1" x14ac:dyDescent="0.2">
      <c r="B61"/>
      <c r="C61"/>
      <c r="D61"/>
      <c r="E61"/>
      <c r="F61"/>
      <c r="G61"/>
      <c r="H61" s="23"/>
      <c r="I61"/>
      <c r="J61" s="11"/>
      <c r="K61" s="11"/>
      <c r="L61" s="11"/>
      <c r="N61" s="30">
        <v>9</v>
      </c>
      <c r="O61" s="67"/>
      <c r="P61" s="14">
        <f>Sizes!M30</f>
        <v>0</v>
      </c>
      <c r="Q61" s="14">
        <f>IF(P61=0,0,Sizes!O30+2)</f>
        <v>0</v>
      </c>
      <c r="R61" s="14">
        <f>IF(P61=0,0,Sizes!N30+2)</f>
        <v>0</v>
      </c>
      <c r="S61" s="72">
        <f t="shared" si="5"/>
        <v>0</v>
      </c>
    </row>
    <row r="62" spans="1:19" ht="24.75" customHeight="1" x14ac:dyDescent="0.2">
      <c r="B62"/>
      <c r="C62"/>
      <c r="D62"/>
      <c r="E62"/>
      <c r="F62"/>
      <c r="G62"/>
      <c r="H62" s="23"/>
      <c r="I62"/>
      <c r="J62" s="11"/>
      <c r="K62" s="11"/>
      <c r="L62" s="11"/>
      <c r="N62" s="30">
        <v>10</v>
      </c>
      <c r="O62" s="68"/>
      <c r="P62" s="14">
        <f>Sizes!M31</f>
        <v>0</v>
      </c>
      <c r="Q62" s="14">
        <f>IF(P62=0,0,Sizes!O31+2)</f>
        <v>0</v>
      </c>
      <c r="R62" s="14">
        <f>IF(P62=0,0,Sizes!N31+2)</f>
        <v>0</v>
      </c>
      <c r="S62" s="72">
        <f t="shared" si="5"/>
        <v>0</v>
      </c>
    </row>
    <row r="63" spans="1:19" ht="24.75" customHeight="1" x14ac:dyDescent="0.2">
      <c r="C63" s="35"/>
      <c r="D63" s="35"/>
      <c r="E63" s="35"/>
      <c r="F63" s="35"/>
      <c r="G63" s="35"/>
      <c r="H63" s="88"/>
      <c r="I63" s="35"/>
      <c r="J63" s="35"/>
      <c r="K63" s="35"/>
      <c r="L63" s="35"/>
      <c r="N63" s="29"/>
      <c r="O63" s="29"/>
      <c r="P63" s="15" t="s">
        <v>356</v>
      </c>
      <c r="Q63" s="35"/>
      <c r="R63" s="35"/>
      <c r="S63" s="75">
        <f>SUM(S53:S62)</f>
        <v>0</v>
      </c>
    </row>
    <row r="64" spans="1:19" ht="24.75" customHeight="1" x14ac:dyDescent="0.2">
      <c r="A64" s="8" t="s">
        <v>176</v>
      </c>
      <c r="B64" s="30">
        <v>1</v>
      </c>
      <c r="C64" s="31"/>
      <c r="D64" s="14">
        <f>Sizes!M36*2</f>
        <v>0</v>
      </c>
      <c r="E64" s="14">
        <f>IF(D64=0,0,Sizes!O36-d.sl)</f>
        <v>0</v>
      </c>
      <c r="F64" s="31"/>
      <c r="G64" s="14">
        <f>D64</f>
        <v>0</v>
      </c>
      <c r="H64" s="14">
        <f>IF(D64=0,0,Sizes!N36-d.rl)</f>
        <v>0</v>
      </c>
      <c r="I64" s="14">
        <f>IF(D64=0,0,Sizes!N36-d.sf)</f>
        <v>0</v>
      </c>
      <c r="J64" s="23">
        <f>D64*E64</f>
        <v>0</v>
      </c>
      <c r="K64" s="23">
        <f t="shared" ref="K64:K80" si="10">G64*H64</f>
        <v>0</v>
      </c>
      <c r="L64" s="23"/>
      <c r="M64" s="8" t="s">
        <v>176</v>
      </c>
      <c r="N64" s="30">
        <v>1</v>
      </c>
      <c r="O64" s="66"/>
      <c r="P64" s="14">
        <f>Sizes!M36</f>
        <v>0</v>
      </c>
      <c r="Q64" s="14">
        <f>IF(P64=0,0,Sizes!O36-d.pw)</f>
        <v>0</v>
      </c>
      <c r="R64" s="14">
        <f>IF(P64=0,0,Sizes!N36-d.pl)</f>
        <v>0</v>
      </c>
      <c r="S64" s="72">
        <f t="shared" si="5"/>
        <v>0</v>
      </c>
    </row>
    <row r="65" spans="1:19" ht="24.75" customHeight="1" x14ac:dyDescent="0.2">
      <c r="A65" s="8">
        <f>M4</f>
        <v>0</v>
      </c>
      <c r="B65" s="30">
        <v>2</v>
      </c>
      <c r="C65" s="11"/>
      <c r="D65" s="14">
        <f>Sizes!M37*2</f>
        <v>0</v>
      </c>
      <c r="E65" s="14">
        <f>IF(D65=0,0,Sizes!O37-d.sl)</f>
        <v>0</v>
      </c>
      <c r="F65" s="31"/>
      <c r="G65" s="14">
        <f t="shared" ref="G65:G73" si="11">D65</f>
        <v>0</v>
      </c>
      <c r="H65" s="14">
        <f>IF(D65=0,0,Sizes!N37-d.rl)</f>
        <v>0</v>
      </c>
      <c r="I65" s="14">
        <f>IF(D65=0,0,Sizes!N37-d.sf)</f>
        <v>0</v>
      </c>
      <c r="J65" s="23">
        <f t="shared" ref="J65:J73" si="12">D65*E65</f>
        <v>0</v>
      </c>
      <c r="K65" s="23">
        <f t="shared" si="10"/>
        <v>0</v>
      </c>
      <c r="L65" s="23"/>
      <c r="M65" s="8">
        <f>M4</f>
        <v>0</v>
      </c>
      <c r="N65" s="30">
        <v>2</v>
      </c>
      <c r="O65" s="67"/>
      <c r="P65" s="14">
        <f>Sizes!M37</f>
        <v>0</v>
      </c>
      <c r="Q65" s="14">
        <f>IF(P65=0,0,Sizes!O37-d.pw)</f>
        <v>0</v>
      </c>
      <c r="R65" s="14">
        <f>IF(P65=0,0,Sizes!N37-d.pl)</f>
        <v>0</v>
      </c>
      <c r="S65" s="72">
        <f t="shared" si="5"/>
        <v>0</v>
      </c>
    </row>
    <row r="66" spans="1:19" ht="24.75" customHeight="1" x14ac:dyDescent="0.2">
      <c r="B66" s="30">
        <v>3</v>
      </c>
      <c r="C66" s="11"/>
      <c r="D66" s="14">
        <f>Sizes!M38*2</f>
        <v>0</v>
      </c>
      <c r="E66" s="14">
        <f>IF(D66=0,0,Sizes!O38-d.sl)</f>
        <v>0</v>
      </c>
      <c r="F66" s="31"/>
      <c r="G66" s="14">
        <f t="shared" si="11"/>
        <v>0</v>
      </c>
      <c r="H66" s="14">
        <f>IF(D66=0,0,Sizes!N38-d.rl)</f>
        <v>0</v>
      </c>
      <c r="I66" s="14">
        <f>IF(D66=0,0,Sizes!N38-d.sf)</f>
        <v>0</v>
      </c>
      <c r="J66" s="23">
        <f t="shared" si="12"/>
        <v>0</v>
      </c>
      <c r="K66" s="23">
        <f t="shared" si="10"/>
        <v>0</v>
      </c>
      <c r="L66" s="23"/>
      <c r="N66" s="30">
        <v>3</v>
      </c>
      <c r="O66" s="67"/>
      <c r="P66" s="14">
        <f>Sizes!M38</f>
        <v>0</v>
      </c>
      <c r="Q66" s="14">
        <f>IF(P66=0,0,Sizes!O38-d.pw)</f>
        <v>0</v>
      </c>
      <c r="R66" s="14">
        <f>IF(P66=0,0,Sizes!N38-d.pl)</f>
        <v>0</v>
      </c>
      <c r="S66" s="72">
        <f t="shared" si="5"/>
        <v>0</v>
      </c>
    </row>
    <row r="67" spans="1:19" ht="24.75" customHeight="1" x14ac:dyDescent="0.2">
      <c r="B67" s="30">
        <v>4</v>
      </c>
      <c r="C67" s="11"/>
      <c r="D67" s="14">
        <f>Sizes!M39*2</f>
        <v>0</v>
      </c>
      <c r="E67" s="14">
        <f>IF(D67=0,0,Sizes!O39-d.sl)</f>
        <v>0</v>
      </c>
      <c r="F67" s="31"/>
      <c r="G67" s="14">
        <f t="shared" si="11"/>
        <v>0</v>
      </c>
      <c r="H67" s="14">
        <f>IF(D67=0,0,Sizes!N39-d.rl)</f>
        <v>0</v>
      </c>
      <c r="I67" s="14">
        <f>IF(D67=0,0,Sizes!N39-d.sf)</f>
        <v>0</v>
      </c>
      <c r="J67" s="23">
        <f t="shared" si="12"/>
        <v>0</v>
      </c>
      <c r="K67" s="23">
        <f t="shared" si="10"/>
        <v>0</v>
      </c>
      <c r="L67" s="23"/>
      <c r="N67" s="30">
        <v>4</v>
      </c>
      <c r="O67" s="67"/>
      <c r="P67" s="14">
        <f>Sizes!M39</f>
        <v>0</v>
      </c>
      <c r="Q67" s="14">
        <f>IF(P67=0,0,Sizes!O39-d.pw)</f>
        <v>0</v>
      </c>
      <c r="R67" s="14">
        <f>IF(P67=0,0,Sizes!N39-d.pl)</f>
        <v>0</v>
      </c>
      <c r="S67" s="72">
        <f t="shared" si="5"/>
        <v>0</v>
      </c>
    </row>
    <row r="68" spans="1:19" ht="24.75" customHeight="1" x14ac:dyDescent="0.2">
      <c r="B68" s="30">
        <v>5</v>
      </c>
      <c r="C68" s="11"/>
      <c r="D68" s="14">
        <f>Sizes!M40*2</f>
        <v>0</v>
      </c>
      <c r="E68" s="14">
        <f>IF(D68=0,0,Sizes!O40-d.sl)</f>
        <v>0</v>
      </c>
      <c r="F68" s="31"/>
      <c r="G68" s="14">
        <f t="shared" si="11"/>
        <v>0</v>
      </c>
      <c r="H68" s="14">
        <f>IF(D68=0,0,Sizes!N40-d.rl)</f>
        <v>0</v>
      </c>
      <c r="I68" s="14">
        <f>IF(D68=0,0,Sizes!N40-d.sf)</f>
        <v>0</v>
      </c>
      <c r="J68" s="23">
        <f t="shared" si="12"/>
        <v>0</v>
      </c>
      <c r="K68" s="23">
        <f t="shared" si="10"/>
        <v>0</v>
      </c>
      <c r="L68" s="23"/>
      <c r="N68" s="30">
        <v>5</v>
      </c>
      <c r="O68" s="67"/>
      <c r="P68" s="14">
        <f>Sizes!M40</f>
        <v>0</v>
      </c>
      <c r="Q68" s="14">
        <f>IF(P68=0,0,Sizes!O40-d.pw)</f>
        <v>0</v>
      </c>
      <c r="R68" s="14">
        <f>IF(P68=0,0,Sizes!N40-d.pl)</f>
        <v>0</v>
      </c>
      <c r="S68" s="72">
        <f t="shared" si="5"/>
        <v>0</v>
      </c>
    </row>
    <row r="69" spans="1:19" ht="24.75" customHeight="1" x14ac:dyDescent="0.2">
      <c r="B69" s="30">
        <v>6</v>
      </c>
      <c r="C69" s="11"/>
      <c r="D69" s="14">
        <f>Sizes!M41*2</f>
        <v>0</v>
      </c>
      <c r="E69" s="14">
        <f>IF(D69=0,0,Sizes!O41-d.sl)</f>
        <v>0</v>
      </c>
      <c r="F69" s="31"/>
      <c r="G69" s="14">
        <f t="shared" si="11"/>
        <v>0</v>
      </c>
      <c r="H69" s="14">
        <f>IF(D69=0,0,Sizes!N41-d.rl)</f>
        <v>0</v>
      </c>
      <c r="I69" s="14">
        <f>IF(D69=0,0,Sizes!N41-d.sf)</f>
        <v>0</v>
      </c>
      <c r="J69" s="23">
        <f t="shared" si="12"/>
        <v>0</v>
      </c>
      <c r="K69" s="23">
        <f t="shared" si="10"/>
        <v>0</v>
      </c>
      <c r="L69" s="23"/>
      <c r="N69" s="30">
        <v>6</v>
      </c>
      <c r="O69" s="67"/>
      <c r="P69" s="14">
        <f>Sizes!M41</f>
        <v>0</v>
      </c>
      <c r="Q69" s="14">
        <f>IF(P69=0,0,Sizes!O41-d.pw)</f>
        <v>0</v>
      </c>
      <c r="R69" s="14">
        <f>IF(P69=0,0,Sizes!N41-d.pl)</f>
        <v>0</v>
      </c>
      <c r="S69" s="72">
        <f t="shared" si="5"/>
        <v>0</v>
      </c>
    </row>
    <row r="70" spans="1:19" ht="24.75" customHeight="1" x14ac:dyDescent="0.2">
      <c r="B70" s="30">
        <v>7</v>
      </c>
      <c r="C70" s="11"/>
      <c r="D70" s="14">
        <f>Sizes!M42*2</f>
        <v>0</v>
      </c>
      <c r="E70" s="14">
        <f>IF(D70=0,0,Sizes!O42-d.sl)</f>
        <v>0</v>
      </c>
      <c r="F70" s="31"/>
      <c r="G70" s="14">
        <f t="shared" si="11"/>
        <v>0</v>
      </c>
      <c r="H70" s="14">
        <f>IF(D70=0,0,Sizes!N42-d.rl)</f>
        <v>0</v>
      </c>
      <c r="I70" s="14">
        <f>IF(D70=0,0,Sizes!N42-d.sf)</f>
        <v>0</v>
      </c>
      <c r="J70" s="23">
        <f t="shared" si="12"/>
        <v>0</v>
      </c>
      <c r="K70" s="23">
        <f t="shared" si="10"/>
        <v>0</v>
      </c>
      <c r="L70" s="23"/>
      <c r="N70" s="30">
        <v>7</v>
      </c>
      <c r="O70" s="67"/>
      <c r="P70" s="14">
        <f>Sizes!M42</f>
        <v>0</v>
      </c>
      <c r="Q70" s="14">
        <f>IF(P70=0,0,Sizes!O42-d.pw)</f>
        <v>0</v>
      </c>
      <c r="R70" s="14">
        <f>IF(P70=0,0,Sizes!N42-d.pl)</f>
        <v>0</v>
      </c>
      <c r="S70" s="72">
        <f t="shared" si="5"/>
        <v>0</v>
      </c>
    </row>
    <row r="71" spans="1:19" ht="24.75" customHeight="1" x14ac:dyDescent="0.2">
      <c r="B71" s="30">
        <v>8</v>
      </c>
      <c r="C71" s="11"/>
      <c r="D71" s="14">
        <f>Sizes!M43*2</f>
        <v>0</v>
      </c>
      <c r="E71" s="14">
        <f>IF(D71=0,0,Sizes!O43-d.sl)</f>
        <v>0</v>
      </c>
      <c r="F71" s="31"/>
      <c r="G71" s="14">
        <f t="shared" si="11"/>
        <v>0</v>
      </c>
      <c r="H71" s="14">
        <f>IF(D71=0,0,Sizes!N43-d.rl)</f>
        <v>0</v>
      </c>
      <c r="I71" s="14">
        <f>IF(D71=0,0,Sizes!N43-d.sf)</f>
        <v>0</v>
      </c>
      <c r="J71" s="23">
        <f t="shared" si="12"/>
        <v>0</v>
      </c>
      <c r="K71" s="23">
        <f t="shared" si="10"/>
        <v>0</v>
      </c>
      <c r="L71" s="23"/>
      <c r="N71" s="30">
        <v>8</v>
      </c>
      <c r="O71" s="67"/>
      <c r="P71" s="14">
        <f>Sizes!M43</f>
        <v>0</v>
      </c>
      <c r="Q71" s="14">
        <f>IF(P71=0,0,Sizes!O43-d.pw)</f>
        <v>0</v>
      </c>
      <c r="R71" s="14">
        <f>IF(P71=0,0,Sizes!N43-d.pl)</f>
        <v>0</v>
      </c>
      <c r="S71" s="72">
        <f>(((Q71*0.03937)*(R71*0.03937))*P71)/144</f>
        <v>0</v>
      </c>
    </row>
    <row r="72" spans="1:19" ht="24.75" customHeight="1" x14ac:dyDescent="0.2">
      <c r="B72" s="30">
        <v>9</v>
      </c>
      <c r="C72" s="11"/>
      <c r="D72" s="14">
        <f>Sizes!M44*2</f>
        <v>0</v>
      </c>
      <c r="E72" s="14">
        <f>IF(D72=0,0,Sizes!O44-d.sl)</f>
        <v>0</v>
      </c>
      <c r="F72" s="31"/>
      <c r="G72" s="14">
        <f t="shared" si="11"/>
        <v>0</v>
      </c>
      <c r="H72" s="14">
        <f>IF(D72=0,0,Sizes!N44-d.rl)</f>
        <v>0</v>
      </c>
      <c r="I72" s="14">
        <f>IF(D72=0,0,Sizes!N44-d.sf)</f>
        <v>0</v>
      </c>
      <c r="J72" s="23">
        <f t="shared" si="12"/>
        <v>0</v>
      </c>
      <c r="K72" s="23">
        <f t="shared" si="10"/>
        <v>0</v>
      </c>
      <c r="L72" s="23"/>
      <c r="N72" s="30">
        <v>9</v>
      </c>
      <c r="O72" s="67"/>
      <c r="P72" s="14">
        <f>Sizes!M44</f>
        <v>0</v>
      </c>
      <c r="Q72" s="14">
        <f>IF(P72=0,0,Sizes!O44-d.pw)</f>
        <v>0</v>
      </c>
      <c r="R72" s="14">
        <f>IF(P72=0,0,Sizes!N44-d.pl)</f>
        <v>0</v>
      </c>
      <c r="S72" s="72">
        <f>(((Q72*0.03937)*(R72*0.03937))*P72)/144</f>
        <v>0</v>
      </c>
    </row>
    <row r="73" spans="1:19" ht="24.75" customHeight="1" x14ac:dyDescent="0.2">
      <c r="A73" s="11"/>
      <c r="B73" s="30">
        <v>10</v>
      </c>
      <c r="C73" s="65"/>
      <c r="D73" s="14">
        <f>Sizes!M45*2</f>
        <v>0</v>
      </c>
      <c r="E73" s="14">
        <f>IF(D73=0,0,Sizes!O45-d.sl)</f>
        <v>0</v>
      </c>
      <c r="F73" s="187"/>
      <c r="G73" s="14">
        <f t="shared" si="11"/>
        <v>0</v>
      </c>
      <c r="H73" s="14">
        <f>IF(D73=0,0,Sizes!N45-d.rl)</f>
        <v>0</v>
      </c>
      <c r="I73" s="14">
        <f>IF(D73=0,0,Sizes!N45-d.sf)</f>
        <v>0</v>
      </c>
      <c r="J73" s="23">
        <f t="shared" si="12"/>
        <v>0</v>
      </c>
      <c r="K73" s="23">
        <f t="shared" si="10"/>
        <v>0</v>
      </c>
      <c r="L73" s="23"/>
      <c r="M73" s="11"/>
      <c r="N73" s="30">
        <v>10</v>
      </c>
      <c r="O73" s="67"/>
      <c r="P73" s="14">
        <f>Sizes!M45</f>
        <v>0</v>
      </c>
      <c r="Q73" s="14">
        <f>IF(P73=0,0,Sizes!O45-d.pw)</f>
        <v>0</v>
      </c>
      <c r="R73" s="14">
        <f>IF(P73=0,0,Sizes!N45-d.pl)</f>
        <v>0</v>
      </c>
      <c r="S73" s="72">
        <f>(((Q73*0.03937)*(R73*0.03937))*P73)/144</f>
        <v>0</v>
      </c>
    </row>
    <row r="74" spans="1:19" ht="24.75" customHeight="1" x14ac:dyDescent="0.2">
      <c r="A74" s="11"/>
      <c r="H74" s="88"/>
      <c r="J74" s="69">
        <f>SUM(J64:J73)</f>
        <v>0</v>
      </c>
      <c r="K74" s="69">
        <f>SUM(K64:K73)</f>
        <v>0</v>
      </c>
      <c r="L74" s="116" t="s">
        <v>78</v>
      </c>
      <c r="M74" s="11"/>
      <c r="S74" s="75">
        <f>SUM(S64:S73)</f>
        <v>0</v>
      </c>
    </row>
    <row r="75" spans="1:19" ht="24.75" customHeight="1" x14ac:dyDescent="0.2">
      <c r="A75" s="11" t="s">
        <v>601</v>
      </c>
      <c r="B75" s="30">
        <v>1</v>
      </c>
      <c r="C75" s="31"/>
      <c r="D75" s="14">
        <f>Sizes!C27*2</f>
        <v>0</v>
      </c>
      <c r="E75" s="14">
        <f>IF(D75=0,0,Sizes!E27-d.sl)</f>
        <v>0</v>
      </c>
      <c r="F75" s="31"/>
      <c r="G75" s="14">
        <f t="shared" ref="G75:G80" si="13">D75</f>
        <v>0</v>
      </c>
      <c r="H75" s="14">
        <f>IF(D75=0,0,Sizes!D27-d.rl)</f>
        <v>0</v>
      </c>
      <c r="I75" s="14">
        <f>IF(D75=0,0,Sizes!D27-d.sf)</f>
        <v>0</v>
      </c>
      <c r="J75" s="23">
        <f t="shared" ref="J75:J80" si="14">D75*E75</f>
        <v>0</v>
      </c>
      <c r="K75" s="23">
        <f t="shared" si="10"/>
        <v>0</v>
      </c>
      <c r="L75" s="23">
        <f>Sizes!F27</f>
        <v>0</v>
      </c>
      <c r="M75"/>
      <c r="N75"/>
      <c r="O75"/>
      <c r="P75"/>
      <c r="Q75"/>
      <c r="R75"/>
    </row>
    <row r="76" spans="1:19" ht="24.75" customHeight="1" x14ac:dyDescent="0.2">
      <c r="A76" s="64" t="s">
        <v>95</v>
      </c>
      <c r="B76" s="30">
        <v>2</v>
      </c>
      <c r="C76" s="16"/>
      <c r="D76" s="14">
        <f>Sizes!C28*2</f>
        <v>0</v>
      </c>
      <c r="E76" s="14">
        <f>IF(D76=0,0,Sizes!E28-d.sl)</f>
        <v>0</v>
      </c>
      <c r="F76" s="31"/>
      <c r="G76" s="14">
        <f t="shared" si="13"/>
        <v>0</v>
      </c>
      <c r="H76" s="14">
        <f>IF(D76=0,0,Sizes!D28-d.rl)</f>
        <v>0</v>
      </c>
      <c r="I76" s="14">
        <f>IF(D76=0,0,Sizes!D28-d.sf)</f>
        <v>0</v>
      </c>
      <c r="J76" s="23">
        <f t="shared" si="14"/>
        <v>0</v>
      </c>
      <c r="K76" s="23">
        <f t="shared" si="10"/>
        <v>0</v>
      </c>
      <c r="L76" s="23">
        <f>Sizes!F28</f>
        <v>0</v>
      </c>
      <c r="M76"/>
      <c r="N76"/>
      <c r="O76"/>
      <c r="P76"/>
      <c r="Q76"/>
      <c r="R76"/>
    </row>
    <row r="77" spans="1:19" ht="24.75" customHeight="1" x14ac:dyDescent="0.2">
      <c r="A77" s="81">
        <f>'ORDER FORM'!D36</f>
        <v>0</v>
      </c>
      <c r="B77" s="30">
        <v>3</v>
      </c>
      <c r="C77" s="16"/>
      <c r="D77" s="14">
        <f>Sizes!C29*2</f>
        <v>0</v>
      </c>
      <c r="E77" s="14">
        <f>IF(D77=0,0,Sizes!E29-d.sl)</f>
        <v>0</v>
      </c>
      <c r="F77" s="31"/>
      <c r="G77" s="14">
        <f t="shared" si="13"/>
        <v>0</v>
      </c>
      <c r="H77" s="14">
        <f>IF(D77=0,0,Sizes!D29-d.rl)</f>
        <v>0</v>
      </c>
      <c r="I77" s="14">
        <f>IF(D77=0,0,Sizes!D29-d.sf)</f>
        <v>0</v>
      </c>
      <c r="J77" s="23">
        <f t="shared" si="14"/>
        <v>0</v>
      </c>
      <c r="K77" s="23">
        <f t="shared" si="10"/>
        <v>0</v>
      </c>
      <c r="L77" s="23">
        <f>Sizes!F29</f>
        <v>0</v>
      </c>
      <c r="M77"/>
      <c r="N77"/>
      <c r="O77"/>
      <c r="P77"/>
      <c r="Q77"/>
      <c r="R77"/>
    </row>
    <row r="78" spans="1:19" ht="24.75" customHeight="1" x14ac:dyDescent="0.2">
      <c r="A78" s="23">
        <f>I3</f>
        <v>0</v>
      </c>
      <c r="B78" s="30">
        <v>4</v>
      </c>
      <c r="C78" s="16"/>
      <c r="D78" s="14">
        <f>Sizes!C30*2</f>
        <v>0</v>
      </c>
      <c r="E78" s="14">
        <f>IF(D78=0,0,Sizes!E30-d.sl)</f>
        <v>0</v>
      </c>
      <c r="F78" s="31"/>
      <c r="G78" s="14">
        <f t="shared" si="13"/>
        <v>0</v>
      </c>
      <c r="H78" s="14">
        <f>IF(D78=0,0,Sizes!D30-d.rl)</f>
        <v>0</v>
      </c>
      <c r="I78" s="14">
        <f>IF(D78=0,0,Sizes!D30-d.sf)</f>
        <v>0</v>
      </c>
      <c r="J78" s="23">
        <f t="shared" si="14"/>
        <v>0</v>
      </c>
      <c r="K78" s="23">
        <f t="shared" si="10"/>
        <v>0</v>
      </c>
      <c r="L78" s="23">
        <f>Sizes!F30</f>
        <v>0</v>
      </c>
      <c r="M78"/>
      <c r="N78"/>
      <c r="O78"/>
      <c r="P78"/>
      <c r="Q78"/>
      <c r="R78"/>
    </row>
    <row r="79" spans="1:19" ht="24.75" customHeight="1" x14ac:dyDescent="0.2">
      <c r="A79" s="11"/>
      <c r="B79" s="30">
        <v>5</v>
      </c>
      <c r="C79" s="16"/>
      <c r="D79" s="14">
        <f>Sizes!C31*2</f>
        <v>0</v>
      </c>
      <c r="E79" s="14">
        <f>IF(D79=0,0,Sizes!E31-d.sl)</f>
        <v>0</v>
      </c>
      <c r="F79" s="31"/>
      <c r="G79" s="14">
        <f t="shared" si="13"/>
        <v>0</v>
      </c>
      <c r="H79" s="14">
        <f>IF(D79=0,0,Sizes!D31-d.rl)</f>
        <v>0</v>
      </c>
      <c r="I79" s="14">
        <f>IF(D79=0,0,Sizes!D31-d.sf)</f>
        <v>0</v>
      </c>
      <c r="J79" s="23">
        <f t="shared" si="14"/>
        <v>0</v>
      </c>
      <c r="K79" s="23">
        <f t="shared" si="10"/>
        <v>0</v>
      </c>
      <c r="L79" s="23">
        <f>Sizes!F31</f>
        <v>0</v>
      </c>
      <c r="M79"/>
      <c r="N79"/>
      <c r="O79"/>
      <c r="P79"/>
      <c r="Q79"/>
      <c r="R79"/>
    </row>
    <row r="80" spans="1:19" ht="24.75" customHeight="1" x14ac:dyDescent="0.2">
      <c r="A80" s="11"/>
      <c r="B80" s="30">
        <v>6</v>
      </c>
      <c r="C80" s="32"/>
      <c r="D80" s="14">
        <f>Sizes!C32*2</f>
        <v>0</v>
      </c>
      <c r="E80" s="14">
        <f>IF(D80=0,0,Sizes!E32-d.sl)</f>
        <v>0</v>
      </c>
      <c r="F80" s="187"/>
      <c r="G80" s="14">
        <f t="shared" si="13"/>
        <v>0</v>
      </c>
      <c r="H80" s="14">
        <f>IF(D80=0,0,Sizes!D32-d.rl)</f>
        <v>0</v>
      </c>
      <c r="I80" s="14">
        <f>IF(D80=0,0,Sizes!D32-d.sf)</f>
        <v>0</v>
      </c>
      <c r="J80" s="23">
        <f t="shared" si="14"/>
        <v>0</v>
      </c>
      <c r="K80" s="23">
        <f t="shared" si="10"/>
        <v>0</v>
      </c>
      <c r="L80" s="23">
        <f>Sizes!F32</f>
        <v>0</v>
      </c>
      <c r="M80"/>
      <c r="N80"/>
      <c r="O80"/>
      <c r="P80"/>
      <c r="Q80"/>
      <c r="R80"/>
    </row>
    <row r="81" spans="3:20" s="11" customFormat="1" ht="24.75" customHeight="1" x14ac:dyDescent="0.2">
      <c r="C81" s="16"/>
      <c r="D81" s="23"/>
      <c r="E81" s="22"/>
      <c r="F81" s="16"/>
      <c r="G81" s="23"/>
      <c r="H81" s="23"/>
      <c r="I81" s="22"/>
      <c r="J81" s="70">
        <f>SUM(J75:J80)</f>
        <v>0</v>
      </c>
      <c r="K81" s="71">
        <f>SUM(K75:K80)</f>
        <v>0</v>
      </c>
      <c r="L81" s="22"/>
      <c r="M81"/>
      <c r="N81"/>
      <c r="O81"/>
      <c r="P81"/>
      <c r="Q81"/>
      <c r="R81"/>
    </row>
    <row r="82" spans="3:20" ht="21" customHeight="1" x14ac:dyDescent="0.2">
      <c r="D82" s="83"/>
      <c r="E82" s="11"/>
      <c r="F82" s="11"/>
      <c r="G82" s="11"/>
      <c r="H82" s="11"/>
      <c r="I82" s="11"/>
      <c r="J82" s="11"/>
      <c r="K82" s="11"/>
      <c r="L82" s="11"/>
      <c r="M82" s="11"/>
      <c r="N82" s="11"/>
      <c r="O82" s="11"/>
      <c r="P82" s="83"/>
      <c r="Q82" s="27"/>
      <c r="R82" s="11"/>
      <c r="S82" s="11"/>
      <c r="T82" s="11"/>
    </row>
    <row r="83" spans="3:20" ht="21" customHeight="1" x14ac:dyDescent="0.2">
      <c r="D83" s="11"/>
      <c r="E83" s="11"/>
      <c r="F83" s="11"/>
      <c r="G83" s="11"/>
      <c r="H83" s="11"/>
      <c r="I83" s="11"/>
      <c r="J83" s="11"/>
      <c r="K83" s="11"/>
      <c r="L83" s="79"/>
      <c r="M83" s="79"/>
      <c r="N83" s="11"/>
      <c r="O83" s="11"/>
      <c r="P83" s="73"/>
      <c r="Q83" s="27"/>
      <c r="R83" s="11"/>
      <c r="S83" s="11"/>
      <c r="T83" s="11"/>
    </row>
    <row r="84" spans="3:20" ht="21" customHeight="1" x14ac:dyDescent="0.2">
      <c r="D84" s="73"/>
      <c r="E84" s="73"/>
      <c r="F84" s="73"/>
      <c r="G84" s="73"/>
      <c r="H84" s="11"/>
      <c r="I84" s="77"/>
      <c r="J84" s="11"/>
      <c r="K84" s="11"/>
      <c r="L84" s="78"/>
      <c r="M84" s="78"/>
      <c r="N84" s="76"/>
      <c r="O84" s="79"/>
      <c r="P84" s="73"/>
      <c r="Q84" s="27"/>
      <c r="R84" s="76"/>
      <c r="S84" s="11"/>
      <c r="T84" s="79"/>
    </row>
    <row r="85" spans="3:20" ht="21" customHeight="1" x14ac:dyDescent="0.2">
      <c r="D85" s="73"/>
      <c r="E85" s="73"/>
      <c r="F85" s="73"/>
      <c r="G85" s="73"/>
      <c r="H85" s="11"/>
      <c r="I85" s="73"/>
      <c r="J85" s="11"/>
      <c r="K85" s="11"/>
      <c r="L85" s="78"/>
      <c r="M85" s="78"/>
      <c r="N85" s="76"/>
      <c r="O85" s="79"/>
      <c r="P85" s="73"/>
      <c r="Q85" s="27"/>
      <c r="R85" s="76"/>
      <c r="S85" s="11"/>
      <c r="T85" s="79"/>
    </row>
    <row r="86" spans="3:20" ht="21" customHeight="1" x14ac:dyDescent="0.2">
      <c r="D86" s="73"/>
      <c r="E86" s="73"/>
      <c r="F86" s="73"/>
      <c r="G86" s="73"/>
      <c r="H86" s="11"/>
      <c r="I86" s="73"/>
      <c r="J86" s="11"/>
      <c r="K86" s="11"/>
      <c r="L86" s="73"/>
      <c r="M86" s="73"/>
      <c r="N86" s="85"/>
      <c r="O86" s="79"/>
      <c r="P86" s="73"/>
      <c r="Q86" s="27"/>
      <c r="R86" s="76"/>
      <c r="S86" s="11"/>
      <c r="T86" s="79"/>
    </row>
    <row r="87" spans="3:20" ht="21" customHeight="1" x14ac:dyDescent="0.2">
      <c r="D87" s="73"/>
      <c r="E87" s="73"/>
      <c r="F87" s="73"/>
      <c r="G87" s="73"/>
      <c r="H87" s="11"/>
      <c r="I87" s="73"/>
      <c r="J87" s="11"/>
      <c r="K87" s="11"/>
      <c r="L87" s="73"/>
      <c r="M87" s="73"/>
      <c r="N87" s="73"/>
      <c r="O87" s="73"/>
      <c r="P87" s="73"/>
      <c r="Q87" s="27"/>
      <c r="R87" s="76"/>
      <c r="S87" s="11"/>
      <c r="T87" s="79"/>
    </row>
    <row r="88" spans="3:20" ht="21" customHeight="1" x14ac:dyDescent="0.2">
      <c r="D88" s="84"/>
      <c r="E88" s="73"/>
      <c r="F88" s="73"/>
      <c r="G88" s="73"/>
      <c r="H88" s="11"/>
      <c r="I88" s="73"/>
      <c r="J88" s="11"/>
      <c r="K88" s="11"/>
      <c r="L88" s="78"/>
      <c r="M88" s="78"/>
      <c r="N88" s="76"/>
      <c r="O88" s="79"/>
      <c r="P88" s="73"/>
      <c r="Q88" s="27"/>
      <c r="R88" s="76"/>
      <c r="S88" s="11"/>
      <c r="T88" s="79"/>
    </row>
    <row r="89" spans="3:20" ht="21" customHeight="1" x14ac:dyDescent="0.2">
      <c r="D89" s="84"/>
      <c r="E89" s="73"/>
      <c r="F89" s="73"/>
      <c r="G89" s="73"/>
      <c r="H89" s="11"/>
      <c r="I89" s="73"/>
      <c r="J89" s="11"/>
      <c r="K89" s="11"/>
      <c r="L89" s="78"/>
      <c r="M89" s="78"/>
      <c r="N89" s="76"/>
      <c r="O89" s="79"/>
      <c r="P89" s="73"/>
      <c r="Q89" s="27"/>
      <c r="R89" s="11"/>
      <c r="S89" s="11"/>
      <c r="T89" s="27"/>
    </row>
    <row r="90" spans="3:20" ht="21" customHeight="1" x14ac:dyDescent="0.2">
      <c r="D90" s="84"/>
      <c r="E90" s="73"/>
      <c r="F90" s="73"/>
      <c r="G90" s="73"/>
      <c r="H90" s="11"/>
      <c r="I90" s="73"/>
      <c r="J90" s="11"/>
      <c r="K90" s="11"/>
      <c r="L90" s="78"/>
      <c r="M90" s="78"/>
      <c r="N90" s="76"/>
      <c r="O90" s="79"/>
      <c r="P90" s="79"/>
      <c r="Q90" s="27"/>
      <c r="R90" s="85"/>
      <c r="S90" s="11"/>
      <c r="T90" s="79"/>
    </row>
    <row r="97" spans="16:18" ht="21" customHeight="1" x14ac:dyDescent="0.2">
      <c r="P97" s="2"/>
      <c r="Q97" s="2"/>
      <c r="R97" s="80"/>
    </row>
  </sheetData>
  <sheetProtection password="CA8A" sheet="1" objects="1" scenarios="1"/>
  <mergeCells count="11">
    <mergeCell ref="B1:D1"/>
    <mergeCell ref="B2:D2"/>
    <mergeCell ref="P1:Q1"/>
    <mergeCell ref="G6:H6"/>
    <mergeCell ref="I2:M2"/>
    <mergeCell ref="B3:D3"/>
    <mergeCell ref="B4:E4"/>
    <mergeCell ref="B5:E5"/>
    <mergeCell ref="P2:R2"/>
    <mergeCell ref="P3:R3"/>
    <mergeCell ref="G3:H3"/>
  </mergeCells>
  <phoneticPr fontId="20" type="noConversion"/>
  <pageMargins left="0.44685039370078738" right="0.25" top="0.5" bottom="0.25" header="0" footer="0"/>
  <pageSetup scale="48" fitToHeight="2" orientation="portrait" r:id="rId1"/>
  <headerFooter>
    <oddFooter>&amp;LRev. Nov. 2006&amp;C&amp;A&amp;RPage &amp;P</oddFooter>
  </headerFooter>
  <rowBreaks count="1" manualBreakCount="1">
    <brk id="51" max="16383" man="1" pt="1"/>
  </rowBreaks>
  <extLst>
    <ext xmlns:mx="http://schemas.microsoft.com/office/mac/excel/2008/main" uri="{64002731-A6B0-56B0-2670-7721B7C09600}">
      <mx:PLV Mode="1"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dimension ref="A1:AC82"/>
  <sheetViews>
    <sheetView showRuler="0" workbookViewId="0">
      <selection activeCell="K51" sqref="K51"/>
    </sheetView>
  </sheetViews>
  <sheetFormatPr baseColWidth="10" defaultColWidth="7.6640625" defaultRowHeight="13" x14ac:dyDescent="0.15"/>
  <cols>
    <col min="1" max="1" width="6.1640625" bestFit="1" customWidth="1"/>
    <col min="2" max="2" width="11.5" bestFit="1" customWidth="1"/>
    <col min="3" max="3" width="12.5" bestFit="1" customWidth="1"/>
    <col min="4" max="4" width="7.5" bestFit="1" customWidth="1"/>
    <col min="5" max="5" width="12.33203125" customWidth="1"/>
    <col min="6" max="6" width="15.33203125" customWidth="1"/>
    <col min="7" max="7" width="11.33203125" customWidth="1"/>
    <col min="8" max="8" width="22.5" bestFit="1" customWidth="1"/>
    <col min="9" max="9" width="9.5" style="111" bestFit="1" customWidth="1"/>
    <col min="10" max="10" width="8.1640625" style="112" bestFit="1" customWidth="1"/>
    <col min="11" max="11" width="20" bestFit="1" customWidth="1"/>
    <col min="12" max="12" width="8.5" customWidth="1"/>
    <col min="17" max="17" width="17.33203125" customWidth="1"/>
    <col min="18" max="18" width="12.5" customWidth="1"/>
    <col min="19" max="19" width="20.1640625" customWidth="1"/>
  </cols>
  <sheetData>
    <row r="1" spans="1:29" x14ac:dyDescent="0.15">
      <c r="A1" t="s">
        <v>364</v>
      </c>
      <c r="B1" t="s">
        <v>365</v>
      </c>
      <c r="C1" t="s">
        <v>366</v>
      </c>
      <c r="D1" t="s">
        <v>367</v>
      </c>
      <c r="E1" t="s">
        <v>368</v>
      </c>
      <c r="F1" t="s">
        <v>369</v>
      </c>
      <c r="G1" t="s">
        <v>370</v>
      </c>
      <c r="H1" t="s">
        <v>371</v>
      </c>
      <c r="I1" s="111" t="s">
        <v>184</v>
      </c>
      <c r="J1" s="112" t="s">
        <v>185</v>
      </c>
      <c r="K1" t="s">
        <v>186</v>
      </c>
      <c r="L1" t="s">
        <v>65</v>
      </c>
      <c r="M1" t="s">
        <v>187</v>
      </c>
      <c r="N1" t="s">
        <v>497</v>
      </c>
      <c r="O1" t="s">
        <v>347</v>
      </c>
      <c r="P1" t="s">
        <v>602</v>
      </c>
      <c r="Q1" t="s">
        <v>38</v>
      </c>
      <c r="R1" t="s">
        <v>39</v>
      </c>
      <c r="S1" t="s">
        <v>40</v>
      </c>
      <c r="T1" t="s">
        <v>41</v>
      </c>
      <c r="U1" t="s">
        <v>42</v>
      </c>
      <c r="V1" t="s">
        <v>43</v>
      </c>
      <c r="W1" t="s">
        <v>44</v>
      </c>
      <c r="X1" t="s">
        <v>45</v>
      </c>
      <c r="Y1" t="s">
        <v>46</v>
      </c>
      <c r="Z1" t="s">
        <v>52</v>
      </c>
      <c r="AA1" t="s">
        <v>53</v>
      </c>
      <c r="AB1" t="s">
        <v>443</v>
      </c>
      <c r="AC1" t="s">
        <v>444</v>
      </c>
    </row>
    <row r="2" spans="1:29" x14ac:dyDescent="0.15">
      <c r="A2" s="95">
        <f>'ORDER FORM'!$D$19</f>
        <v>0</v>
      </c>
      <c r="B2" t="str">
        <f>'ORDER FORM'!$D$7</f>
        <v>Cabinetmart Inc</v>
      </c>
      <c r="C2">
        <f>'ORDER FORM'!$E$4</f>
        <v>0</v>
      </c>
      <c r="D2" s="95">
        <f>'ORDER FORM'!$D$19</f>
        <v>0</v>
      </c>
      <c r="E2">
        <f>'ORDER FORM'!$D$8</f>
        <v>0</v>
      </c>
      <c r="F2" t="s">
        <v>47</v>
      </c>
      <c r="G2">
        <f>'ORDER FORM'!$D$10</f>
        <v>0</v>
      </c>
      <c r="H2">
        <f>'ORDER FORM'!$D$11</f>
        <v>0</v>
      </c>
      <c r="I2" s="282">
        <f>'ORDER FORM'!$E$19</f>
        <v>0</v>
      </c>
      <c r="J2" s="282">
        <f>'ORDER FORM'!$F$19</f>
        <v>0</v>
      </c>
      <c r="K2">
        <f>'ORDER FORM'!$Q$10</f>
        <v>0</v>
      </c>
      <c r="N2" t="str">
        <f>IF(ISBLANK('ORDER FORM'!$B$19),"",'ORDER FORM'!$B$19)</f>
        <v/>
      </c>
      <c r="O2" t="str">
        <f>IF(ISBLANK('ORDER FORM'!$C$19),"",'ORDER FORM'!$C$19)</f>
        <v/>
      </c>
      <c r="P2">
        <f>'ORDER FORM'!$D$16</f>
        <v>0</v>
      </c>
      <c r="Q2">
        <f>'ORDER FORM'!$K$10</f>
        <v>0</v>
      </c>
      <c r="R2">
        <f>'ORDER FORM'!$K$12</f>
        <v>0</v>
      </c>
      <c r="S2">
        <f>'ORDER FORM'!$J$11</f>
        <v>0</v>
      </c>
      <c r="X2" s="95">
        <f>'Cut List'!$H$10</f>
        <v>0</v>
      </c>
      <c r="Y2" s="95">
        <f>'Cut List'!$E$10</f>
        <v>0</v>
      </c>
      <c r="Z2" s="95">
        <f>'Cut List'!$Q$10</f>
        <v>0</v>
      </c>
      <c r="AA2" s="95">
        <f>'Cut List'!$R$10</f>
        <v>0</v>
      </c>
      <c r="AC2" t="str">
        <f>'ORDER FORM'!$D$12</f>
        <v>Standard sanding</v>
      </c>
    </row>
    <row r="3" spans="1:29" x14ac:dyDescent="0.15">
      <c r="A3" s="95">
        <f>'ORDER FORM'!$D$20</f>
        <v>0</v>
      </c>
      <c r="B3" t="str">
        <f>'ORDER FORM'!$D$7</f>
        <v>Cabinetmart Inc</v>
      </c>
      <c r="C3">
        <f>'ORDER FORM'!$E$4</f>
        <v>0</v>
      </c>
      <c r="D3" s="95">
        <f>'ORDER FORM'!$D$20</f>
        <v>0</v>
      </c>
      <c r="E3">
        <f>'ORDER FORM'!$D$8</f>
        <v>0</v>
      </c>
      <c r="F3" t="s">
        <v>47</v>
      </c>
      <c r="G3">
        <f>'ORDER FORM'!$D$10</f>
        <v>0</v>
      </c>
      <c r="H3">
        <f>'ORDER FORM'!$D$11</f>
        <v>0</v>
      </c>
      <c r="I3" s="282">
        <f>'ORDER FORM'!$E$20</f>
        <v>0</v>
      </c>
      <c r="J3" s="282">
        <f>'ORDER FORM'!$F$20</f>
        <v>0</v>
      </c>
      <c r="K3">
        <f>'ORDER FORM'!$Q$10</f>
        <v>0</v>
      </c>
      <c r="N3" t="str">
        <f>IF(ISBLANK('ORDER FORM'!$B$20),"",'ORDER FORM'!$B$20)</f>
        <v/>
      </c>
      <c r="O3" t="str">
        <f>IF(ISBLANK('ORDER FORM'!$C$20),"",'ORDER FORM'!$C$20)</f>
        <v/>
      </c>
      <c r="P3">
        <f>'ORDER FORM'!$D$16</f>
        <v>0</v>
      </c>
      <c r="Q3">
        <f>'ORDER FORM'!$K$10</f>
        <v>0</v>
      </c>
      <c r="R3">
        <f>'ORDER FORM'!$K$12</f>
        <v>0</v>
      </c>
      <c r="S3">
        <f>'ORDER FORM'!$J$11</f>
        <v>0</v>
      </c>
      <c r="X3" s="95">
        <f>'Cut List'!$H$11</f>
        <v>0</v>
      </c>
      <c r="Y3" s="95">
        <f>'Cut List'!$E$11</f>
        <v>0</v>
      </c>
      <c r="Z3" s="95">
        <f>'Cut List'!$Q$11</f>
        <v>0</v>
      </c>
      <c r="AA3" s="95">
        <f>'Cut List'!$R$11</f>
        <v>0</v>
      </c>
      <c r="AC3" t="str">
        <f>'ORDER FORM'!$D$12</f>
        <v>Standard sanding</v>
      </c>
    </row>
    <row r="4" spans="1:29" x14ac:dyDescent="0.15">
      <c r="A4" s="95">
        <f>'ORDER FORM'!$D$21</f>
        <v>0</v>
      </c>
      <c r="B4" t="str">
        <f>'ORDER FORM'!$D$7</f>
        <v>Cabinetmart Inc</v>
      </c>
      <c r="C4">
        <f>'ORDER FORM'!$E$4</f>
        <v>0</v>
      </c>
      <c r="D4" s="95">
        <f>'ORDER FORM'!$D$21</f>
        <v>0</v>
      </c>
      <c r="E4">
        <f>'ORDER FORM'!$D$8</f>
        <v>0</v>
      </c>
      <c r="F4" t="s">
        <v>47</v>
      </c>
      <c r="G4">
        <f>'ORDER FORM'!$D$10</f>
        <v>0</v>
      </c>
      <c r="H4">
        <f>'ORDER FORM'!$D$11</f>
        <v>0</v>
      </c>
      <c r="I4" s="282">
        <f>'ORDER FORM'!$E$21</f>
        <v>0</v>
      </c>
      <c r="J4" s="282">
        <f>'ORDER FORM'!$F$21</f>
        <v>0</v>
      </c>
      <c r="K4">
        <f>'ORDER FORM'!$Q$10</f>
        <v>0</v>
      </c>
      <c r="N4" t="str">
        <f>IF(ISBLANK('ORDER FORM'!$B$21),"",'ORDER FORM'!$B$21)</f>
        <v/>
      </c>
      <c r="O4" t="str">
        <f>IF(ISBLANK('ORDER FORM'!$C$21),"",'ORDER FORM'!$C$21)</f>
        <v/>
      </c>
      <c r="P4">
        <f>'ORDER FORM'!$D$16</f>
        <v>0</v>
      </c>
      <c r="Q4">
        <f>'ORDER FORM'!$K$10</f>
        <v>0</v>
      </c>
      <c r="R4">
        <f>'ORDER FORM'!$K$12</f>
        <v>0</v>
      </c>
      <c r="S4">
        <f>'ORDER FORM'!$J$11</f>
        <v>0</v>
      </c>
      <c r="X4" s="95">
        <f>'Cut List'!$H$12</f>
        <v>0</v>
      </c>
      <c r="Y4" s="95">
        <f>'Cut List'!$E$12</f>
        <v>0</v>
      </c>
      <c r="Z4" s="95">
        <f>'Cut List'!$Q$12</f>
        <v>0</v>
      </c>
      <c r="AA4" s="95">
        <f>'Cut List'!$R$12</f>
        <v>0</v>
      </c>
      <c r="AC4" t="str">
        <f>'ORDER FORM'!$D$12</f>
        <v>Standard sanding</v>
      </c>
    </row>
    <row r="5" spans="1:29" x14ac:dyDescent="0.15">
      <c r="A5" s="95">
        <f>'ORDER FORM'!$D$22</f>
        <v>0</v>
      </c>
      <c r="B5" t="str">
        <f>'ORDER FORM'!$D$7</f>
        <v>Cabinetmart Inc</v>
      </c>
      <c r="C5">
        <f>'ORDER FORM'!$E$4</f>
        <v>0</v>
      </c>
      <c r="D5" s="95">
        <f>'ORDER FORM'!$D$22</f>
        <v>0</v>
      </c>
      <c r="E5">
        <f>'ORDER FORM'!$D$8</f>
        <v>0</v>
      </c>
      <c r="F5" t="s">
        <v>47</v>
      </c>
      <c r="G5">
        <f>'ORDER FORM'!$D$10</f>
        <v>0</v>
      </c>
      <c r="H5">
        <f>'ORDER FORM'!$D$11</f>
        <v>0</v>
      </c>
      <c r="I5" s="282">
        <f>'ORDER FORM'!$E$22</f>
        <v>0</v>
      </c>
      <c r="J5" s="282">
        <f>'ORDER FORM'!$F$22</f>
        <v>0</v>
      </c>
      <c r="K5">
        <f>'ORDER FORM'!$Q$10</f>
        <v>0</v>
      </c>
      <c r="N5" t="str">
        <f>IF(ISBLANK('ORDER FORM'!$B$22),"",'ORDER FORM'!$B$22)</f>
        <v/>
      </c>
      <c r="O5" t="str">
        <f>IF(ISBLANK('ORDER FORM'!$C$22),"",'ORDER FORM'!$C$22)</f>
        <v/>
      </c>
      <c r="P5">
        <f>'ORDER FORM'!$D$16</f>
        <v>0</v>
      </c>
      <c r="Q5">
        <f>'ORDER FORM'!$K$10</f>
        <v>0</v>
      </c>
      <c r="R5">
        <f>'ORDER FORM'!$K$12</f>
        <v>0</v>
      </c>
      <c r="S5">
        <f>'ORDER FORM'!$J$11</f>
        <v>0</v>
      </c>
      <c r="X5" s="95">
        <f>'Cut List'!$H$13</f>
        <v>0</v>
      </c>
      <c r="Y5" s="95">
        <f>'Cut List'!$E$13</f>
        <v>0</v>
      </c>
      <c r="Z5" s="95">
        <f>'Cut List'!$Q$13</f>
        <v>0</v>
      </c>
      <c r="AA5" s="95">
        <f>'Cut List'!$R$13</f>
        <v>0</v>
      </c>
      <c r="AC5" t="str">
        <f>'ORDER FORM'!$D$12</f>
        <v>Standard sanding</v>
      </c>
    </row>
    <row r="6" spans="1:29" x14ac:dyDescent="0.15">
      <c r="A6" s="95">
        <f>'ORDER FORM'!$D$23</f>
        <v>0</v>
      </c>
      <c r="B6" t="str">
        <f>'ORDER FORM'!$D$7</f>
        <v>Cabinetmart Inc</v>
      </c>
      <c r="C6">
        <f>'ORDER FORM'!$E$4</f>
        <v>0</v>
      </c>
      <c r="D6" s="95">
        <f>'ORDER FORM'!$D$23</f>
        <v>0</v>
      </c>
      <c r="E6">
        <f>'ORDER FORM'!$D$8</f>
        <v>0</v>
      </c>
      <c r="F6" t="s">
        <v>47</v>
      </c>
      <c r="G6">
        <f>'ORDER FORM'!$D$10</f>
        <v>0</v>
      </c>
      <c r="H6">
        <f>'ORDER FORM'!$D$11</f>
        <v>0</v>
      </c>
      <c r="I6" s="282">
        <f>'ORDER FORM'!$E$23</f>
        <v>0</v>
      </c>
      <c r="J6" s="282">
        <f>'ORDER FORM'!$F$23</f>
        <v>0</v>
      </c>
      <c r="K6">
        <f>'ORDER FORM'!$Q$10</f>
        <v>0</v>
      </c>
      <c r="N6" t="str">
        <f>IF(ISBLANK('ORDER FORM'!$B$23),"",'ORDER FORM'!$B$23)</f>
        <v/>
      </c>
      <c r="O6" t="str">
        <f>IF(ISBLANK('ORDER FORM'!$C$23),"",'ORDER FORM'!$C$23)</f>
        <v/>
      </c>
      <c r="P6">
        <f>'ORDER FORM'!$D$16</f>
        <v>0</v>
      </c>
      <c r="Q6">
        <f>'ORDER FORM'!$K$10</f>
        <v>0</v>
      </c>
      <c r="R6">
        <f>'ORDER FORM'!$K$12</f>
        <v>0</v>
      </c>
      <c r="S6">
        <f>'ORDER FORM'!$J$11</f>
        <v>0</v>
      </c>
      <c r="X6" s="95">
        <f>'Cut List'!$H$14</f>
        <v>0</v>
      </c>
      <c r="Y6" s="95">
        <f>'Cut List'!$E$14</f>
        <v>0</v>
      </c>
      <c r="Z6" s="95">
        <f>'Cut List'!$Q$14</f>
        <v>0</v>
      </c>
      <c r="AA6" s="95">
        <f>'Cut List'!$R$14</f>
        <v>0</v>
      </c>
      <c r="AC6" t="str">
        <f>'ORDER FORM'!$D$12</f>
        <v>Standard sanding</v>
      </c>
    </row>
    <row r="7" spans="1:29" x14ac:dyDescent="0.15">
      <c r="A7" s="95">
        <f>'ORDER FORM'!$D$24</f>
        <v>0</v>
      </c>
      <c r="B7" t="str">
        <f>'ORDER FORM'!$D$7</f>
        <v>Cabinetmart Inc</v>
      </c>
      <c r="C7">
        <f>'ORDER FORM'!$E$4</f>
        <v>0</v>
      </c>
      <c r="D7" s="95">
        <f>'ORDER FORM'!$D$24</f>
        <v>0</v>
      </c>
      <c r="E7">
        <f>'ORDER FORM'!$D$8</f>
        <v>0</v>
      </c>
      <c r="F7" t="s">
        <v>47</v>
      </c>
      <c r="G7">
        <f>'ORDER FORM'!$D$10</f>
        <v>0</v>
      </c>
      <c r="H7">
        <f>'ORDER FORM'!$D$11</f>
        <v>0</v>
      </c>
      <c r="I7" s="282">
        <f>'ORDER FORM'!$E$24</f>
        <v>0</v>
      </c>
      <c r="J7" s="282">
        <f>'ORDER FORM'!$F$24</f>
        <v>0</v>
      </c>
      <c r="K7">
        <f>'ORDER FORM'!$Q$10</f>
        <v>0</v>
      </c>
      <c r="N7" t="str">
        <f>IF(ISBLANK('ORDER FORM'!$B$24),"",'ORDER FORM'!$B$24)</f>
        <v/>
      </c>
      <c r="O7" t="str">
        <f>IF(ISBLANK('ORDER FORM'!$C$24),"",'ORDER FORM'!$C$24)</f>
        <v/>
      </c>
      <c r="P7">
        <f>'ORDER FORM'!$D$16</f>
        <v>0</v>
      </c>
      <c r="Q7">
        <f>'ORDER FORM'!$K$10</f>
        <v>0</v>
      </c>
      <c r="R7">
        <f>'ORDER FORM'!$K$12</f>
        <v>0</v>
      </c>
      <c r="S7">
        <f>'ORDER FORM'!$J$11</f>
        <v>0</v>
      </c>
      <c r="X7" s="95">
        <f>'Cut List'!$H$15</f>
        <v>0</v>
      </c>
      <c r="Y7" s="95">
        <f>'Cut List'!$E$15</f>
        <v>0</v>
      </c>
      <c r="Z7" s="95">
        <f>'Cut List'!$Q$15</f>
        <v>0</v>
      </c>
      <c r="AA7" s="95">
        <f>'Cut List'!$R$15</f>
        <v>0</v>
      </c>
      <c r="AC7" t="str">
        <f>'ORDER FORM'!$D$12</f>
        <v>Standard sanding</v>
      </c>
    </row>
    <row r="8" spans="1:29" x14ac:dyDescent="0.15">
      <c r="A8" s="95">
        <f>'ORDER FORM'!$D$25</f>
        <v>0</v>
      </c>
      <c r="B8" t="str">
        <f>'ORDER FORM'!$D$7</f>
        <v>Cabinetmart Inc</v>
      </c>
      <c r="C8">
        <f>'ORDER FORM'!$E$4</f>
        <v>0</v>
      </c>
      <c r="D8" s="95">
        <f>'ORDER FORM'!$D$25</f>
        <v>0</v>
      </c>
      <c r="E8">
        <f>'ORDER FORM'!$D$8</f>
        <v>0</v>
      </c>
      <c r="F8" t="s">
        <v>47</v>
      </c>
      <c r="G8">
        <f>'ORDER FORM'!$D$10</f>
        <v>0</v>
      </c>
      <c r="H8">
        <f>'ORDER FORM'!$D$11</f>
        <v>0</v>
      </c>
      <c r="I8" s="282">
        <f>'ORDER FORM'!$E$25</f>
        <v>0</v>
      </c>
      <c r="J8" s="282">
        <f>'ORDER FORM'!$F$25</f>
        <v>0</v>
      </c>
      <c r="K8">
        <f>'ORDER FORM'!$Q$10</f>
        <v>0</v>
      </c>
      <c r="N8" t="str">
        <f>IF(ISBLANK('ORDER FORM'!$B$25),"",'ORDER FORM'!$B$25)</f>
        <v/>
      </c>
      <c r="O8" t="str">
        <f>IF(ISBLANK('ORDER FORM'!$C$25),"",'ORDER FORM'!$C$25)</f>
        <v/>
      </c>
      <c r="P8">
        <f>'ORDER FORM'!$D$16</f>
        <v>0</v>
      </c>
      <c r="Q8">
        <f>'ORDER FORM'!$K$10</f>
        <v>0</v>
      </c>
      <c r="R8">
        <f>'ORDER FORM'!$K$12</f>
        <v>0</v>
      </c>
      <c r="S8">
        <f>'ORDER FORM'!$J$11</f>
        <v>0</v>
      </c>
      <c r="X8" s="95">
        <f>'Cut List'!$H$16</f>
        <v>0</v>
      </c>
      <c r="Y8" s="95">
        <f>'Cut List'!$E$16</f>
        <v>0</v>
      </c>
      <c r="Z8" s="95">
        <f>'Cut List'!$Q$16</f>
        <v>0</v>
      </c>
      <c r="AA8" s="95">
        <f>'Cut List'!$R$16</f>
        <v>0</v>
      </c>
      <c r="AC8" t="str">
        <f>'ORDER FORM'!$D$12</f>
        <v>Standard sanding</v>
      </c>
    </row>
    <row r="9" spans="1:29" x14ac:dyDescent="0.15">
      <c r="A9" s="95">
        <f>'ORDER FORM'!$D$26</f>
        <v>0</v>
      </c>
      <c r="B9" t="str">
        <f>'ORDER FORM'!$D$7</f>
        <v>Cabinetmart Inc</v>
      </c>
      <c r="C9">
        <f>'ORDER FORM'!$E$4</f>
        <v>0</v>
      </c>
      <c r="D9" s="95">
        <f>'ORDER FORM'!$D$26</f>
        <v>0</v>
      </c>
      <c r="E9">
        <f>'ORDER FORM'!$D$8</f>
        <v>0</v>
      </c>
      <c r="F9" t="s">
        <v>47</v>
      </c>
      <c r="G9">
        <f>'ORDER FORM'!$D$10</f>
        <v>0</v>
      </c>
      <c r="H9">
        <f>'ORDER FORM'!$D$11</f>
        <v>0</v>
      </c>
      <c r="I9" s="282">
        <f>'ORDER FORM'!$E$26</f>
        <v>0</v>
      </c>
      <c r="J9" s="282">
        <f>'ORDER FORM'!$F$26</f>
        <v>0</v>
      </c>
      <c r="K9">
        <f>'ORDER FORM'!$Q$10</f>
        <v>0</v>
      </c>
      <c r="N9" t="str">
        <f>IF(ISBLANK('ORDER FORM'!$B$26),"",'ORDER FORM'!$B$26)</f>
        <v/>
      </c>
      <c r="O9" t="str">
        <f>IF(ISBLANK('ORDER FORM'!$C$26),"",'ORDER FORM'!$C$26)</f>
        <v/>
      </c>
      <c r="P9">
        <f>'ORDER FORM'!$D$16</f>
        <v>0</v>
      </c>
      <c r="Q9">
        <f>'ORDER FORM'!$K$10</f>
        <v>0</v>
      </c>
      <c r="R9">
        <f>'ORDER FORM'!$K$12</f>
        <v>0</v>
      </c>
      <c r="S9">
        <f>'ORDER FORM'!$J$11</f>
        <v>0</v>
      </c>
      <c r="X9" s="95">
        <f>'Cut List'!$H$17</f>
        <v>0</v>
      </c>
      <c r="Y9" s="95">
        <f>'Cut List'!$E$17</f>
        <v>0</v>
      </c>
      <c r="Z9" s="95">
        <f>'Cut List'!$Q$17</f>
        <v>0</v>
      </c>
      <c r="AA9" s="95">
        <f>'Cut List'!$R$17</f>
        <v>0</v>
      </c>
      <c r="AC9" t="str">
        <f>'ORDER FORM'!$D$12</f>
        <v>Standard sanding</v>
      </c>
    </row>
    <row r="10" spans="1:29" x14ac:dyDescent="0.15">
      <c r="A10" s="95">
        <f>'ORDER FORM'!$D$27</f>
        <v>0</v>
      </c>
      <c r="B10" t="str">
        <f>'ORDER FORM'!$D$7</f>
        <v>Cabinetmart Inc</v>
      </c>
      <c r="C10">
        <f>'ORDER FORM'!$E$4</f>
        <v>0</v>
      </c>
      <c r="D10" s="95">
        <f>'ORDER FORM'!$D$27</f>
        <v>0</v>
      </c>
      <c r="E10">
        <f>'ORDER FORM'!$D$8</f>
        <v>0</v>
      </c>
      <c r="F10" t="s">
        <v>47</v>
      </c>
      <c r="G10">
        <f>'ORDER FORM'!$D$10</f>
        <v>0</v>
      </c>
      <c r="H10">
        <f>'ORDER FORM'!$D$11</f>
        <v>0</v>
      </c>
      <c r="I10" s="282">
        <f>'ORDER FORM'!$E$27</f>
        <v>0</v>
      </c>
      <c r="J10" s="282">
        <f>'ORDER FORM'!$F$27</f>
        <v>0</v>
      </c>
      <c r="K10">
        <f>'ORDER FORM'!$Q$10</f>
        <v>0</v>
      </c>
      <c r="N10" t="str">
        <f>IF(ISBLANK('ORDER FORM'!$B$27),"",'ORDER FORM'!$B$27)</f>
        <v/>
      </c>
      <c r="O10" t="str">
        <f>IF(ISBLANK('ORDER FORM'!$C$27),"",'ORDER FORM'!$C$27)</f>
        <v/>
      </c>
      <c r="P10">
        <f>'ORDER FORM'!$D$16</f>
        <v>0</v>
      </c>
      <c r="Q10">
        <f>'ORDER FORM'!$K$10</f>
        <v>0</v>
      </c>
      <c r="R10">
        <f>'ORDER FORM'!$K$12</f>
        <v>0</v>
      </c>
      <c r="S10">
        <f>'ORDER FORM'!$J$11</f>
        <v>0</v>
      </c>
      <c r="X10" s="95">
        <f>'Cut List'!$H$18</f>
        <v>0</v>
      </c>
      <c r="Y10" s="95">
        <f>'Cut List'!$E$18</f>
        <v>0</v>
      </c>
      <c r="Z10" s="95">
        <f>'Cut List'!$Q$18</f>
        <v>0</v>
      </c>
      <c r="AA10" s="95">
        <f>'Cut List'!$R$18</f>
        <v>0</v>
      </c>
      <c r="AC10" t="str">
        <f>'ORDER FORM'!$D$12</f>
        <v>Standard sanding</v>
      </c>
    </row>
    <row r="11" spans="1:29" x14ac:dyDescent="0.15">
      <c r="A11" s="95">
        <f>'ORDER FORM'!$D$28</f>
        <v>0</v>
      </c>
      <c r="B11" t="str">
        <f>'ORDER FORM'!$D$7</f>
        <v>Cabinetmart Inc</v>
      </c>
      <c r="C11">
        <f>'ORDER FORM'!$E$4</f>
        <v>0</v>
      </c>
      <c r="D11" s="95">
        <f>'ORDER FORM'!$D$28</f>
        <v>0</v>
      </c>
      <c r="E11">
        <f>'ORDER FORM'!$D$8</f>
        <v>0</v>
      </c>
      <c r="F11" t="s">
        <v>47</v>
      </c>
      <c r="G11">
        <f>'ORDER FORM'!$D$10</f>
        <v>0</v>
      </c>
      <c r="H11">
        <f>'ORDER FORM'!$D$11</f>
        <v>0</v>
      </c>
      <c r="I11" s="282">
        <f>'ORDER FORM'!$E$28</f>
        <v>0</v>
      </c>
      <c r="J11" s="282">
        <f>'ORDER FORM'!$F$28</f>
        <v>0</v>
      </c>
      <c r="K11">
        <f>'ORDER FORM'!$Q$10</f>
        <v>0</v>
      </c>
      <c r="N11" t="str">
        <f>IF(ISBLANK('ORDER FORM'!$B$28),"",'ORDER FORM'!$B$28)</f>
        <v/>
      </c>
      <c r="O11" t="str">
        <f>IF(ISBLANK('ORDER FORM'!$C$28),"",'ORDER FORM'!$C$28)</f>
        <v/>
      </c>
      <c r="P11">
        <f>'ORDER FORM'!$D$16</f>
        <v>0</v>
      </c>
      <c r="Q11">
        <f>'ORDER FORM'!$K$10</f>
        <v>0</v>
      </c>
      <c r="R11">
        <f>'ORDER FORM'!$K$12</f>
        <v>0</v>
      </c>
      <c r="S11">
        <f>'ORDER FORM'!$J$11</f>
        <v>0</v>
      </c>
      <c r="X11" s="95">
        <f>'Cut List'!$H$19</f>
        <v>0</v>
      </c>
      <c r="Y11" s="95">
        <f>'Cut List'!$E$19</f>
        <v>0</v>
      </c>
      <c r="Z11" s="95">
        <f>'Cut List'!$Q$19</f>
        <v>0</v>
      </c>
      <c r="AA11" s="95">
        <f>'Cut List'!$R$19</f>
        <v>0</v>
      </c>
      <c r="AC11" t="str">
        <f>'ORDER FORM'!$D$12</f>
        <v>Standard sanding</v>
      </c>
    </row>
    <row r="12" spans="1:29" x14ac:dyDescent="0.15">
      <c r="A12" s="95">
        <f>'ORDER FORM'!$D$29</f>
        <v>0</v>
      </c>
      <c r="B12" t="str">
        <f>'ORDER FORM'!$D$7</f>
        <v>Cabinetmart Inc</v>
      </c>
      <c r="C12">
        <f>'ORDER FORM'!$E$4</f>
        <v>0</v>
      </c>
      <c r="D12" s="95">
        <f>'ORDER FORM'!$D$29</f>
        <v>0</v>
      </c>
      <c r="E12">
        <f>'ORDER FORM'!$D$8</f>
        <v>0</v>
      </c>
      <c r="F12" t="s">
        <v>47</v>
      </c>
      <c r="G12">
        <f>'ORDER FORM'!$D$10</f>
        <v>0</v>
      </c>
      <c r="H12">
        <f>'ORDER FORM'!$D$11</f>
        <v>0</v>
      </c>
      <c r="I12" s="282">
        <f>'ORDER FORM'!$E$29</f>
        <v>0</v>
      </c>
      <c r="J12" s="282">
        <f>'ORDER FORM'!$F$29</f>
        <v>0</v>
      </c>
      <c r="K12">
        <f>'ORDER FORM'!$Q$10</f>
        <v>0</v>
      </c>
      <c r="N12" t="str">
        <f>IF(ISBLANK('ORDER FORM'!$B$29),"",'ORDER FORM'!$B$29)</f>
        <v/>
      </c>
      <c r="O12" t="str">
        <f>IF(ISBLANK('ORDER FORM'!$C$29),"",'ORDER FORM'!$C$29)</f>
        <v/>
      </c>
      <c r="P12">
        <f>'ORDER FORM'!$D$16</f>
        <v>0</v>
      </c>
      <c r="Q12">
        <f>'ORDER FORM'!$K$10</f>
        <v>0</v>
      </c>
      <c r="R12">
        <f>'ORDER FORM'!$K$12</f>
        <v>0</v>
      </c>
      <c r="S12">
        <f>'ORDER FORM'!$J$11</f>
        <v>0</v>
      </c>
      <c r="X12" s="95">
        <f>'Cut List'!$H$20</f>
        <v>0</v>
      </c>
      <c r="Y12" s="95">
        <f>'Cut List'!$E$20</f>
        <v>0</v>
      </c>
      <c r="Z12" s="95">
        <f>'Cut List'!$Q$20</f>
        <v>0</v>
      </c>
      <c r="AA12" s="95">
        <f>'Cut List'!$R$20</f>
        <v>0</v>
      </c>
      <c r="AC12" t="str">
        <f>'ORDER FORM'!$D$12</f>
        <v>Standard sanding</v>
      </c>
    </row>
    <row r="13" spans="1:29" x14ac:dyDescent="0.15">
      <c r="A13" s="95">
        <f>'ORDER FORM'!$D$30</f>
        <v>0</v>
      </c>
      <c r="B13" t="str">
        <f>'ORDER FORM'!$D$7</f>
        <v>Cabinetmart Inc</v>
      </c>
      <c r="C13">
        <f>'ORDER FORM'!$E$4</f>
        <v>0</v>
      </c>
      <c r="D13" s="95">
        <f>'ORDER FORM'!$D$30</f>
        <v>0</v>
      </c>
      <c r="E13">
        <f>'ORDER FORM'!$D$8</f>
        <v>0</v>
      </c>
      <c r="F13" t="s">
        <v>47</v>
      </c>
      <c r="G13">
        <f>'ORDER FORM'!$D$10</f>
        <v>0</v>
      </c>
      <c r="H13">
        <f>'ORDER FORM'!$D$11</f>
        <v>0</v>
      </c>
      <c r="I13" s="282">
        <f>'ORDER FORM'!$E$30</f>
        <v>0</v>
      </c>
      <c r="J13" s="282">
        <f>'ORDER FORM'!$F$30</f>
        <v>0</v>
      </c>
      <c r="K13">
        <f>'ORDER FORM'!$Q$10</f>
        <v>0</v>
      </c>
      <c r="N13" t="str">
        <f>IF(ISBLANK('ORDER FORM'!$B$30),"",'ORDER FORM'!$B$30)</f>
        <v/>
      </c>
      <c r="O13" t="str">
        <f>IF(ISBLANK('ORDER FORM'!$C$30),"",'ORDER FORM'!$C$30)</f>
        <v/>
      </c>
      <c r="P13">
        <f>'ORDER FORM'!$D$16</f>
        <v>0</v>
      </c>
      <c r="Q13">
        <f>'ORDER FORM'!$K$10</f>
        <v>0</v>
      </c>
      <c r="R13">
        <f>'ORDER FORM'!$K$12</f>
        <v>0</v>
      </c>
      <c r="S13">
        <f>'ORDER FORM'!$J$11</f>
        <v>0</v>
      </c>
      <c r="X13" s="95">
        <f>'Cut List'!$H$21</f>
        <v>0</v>
      </c>
      <c r="Y13" s="95">
        <f>'Cut List'!$E$21</f>
        <v>0</v>
      </c>
      <c r="Z13" s="95">
        <f>'Cut List'!$Q$21</f>
        <v>0</v>
      </c>
      <c r="AA13" s="95">
        <f>'Cut List'!$R$21</f>
        <v>0</v>
      </c>
      <c r="AC13" t="str">
        <f>'ORDER FORM'!$D$12</f>
        <v>Standard sanding</v>
      </c>
    </row>
    <row r="14" spans="1:29" x14ac:dyDescent="0.15">
      <c r="A14" s="95">
        <f>'ORDER FORM'!$D$31</f>
        <v>0</v>
      </c>
      <c r="B14" t="str">
        <f>'ORDER FORM'!$D$7</f>
        <v>Cabinetmart Inc</v>
      </c>
      <c r="C14">
        <f>'ORDER FORM'!$E$4</f>
        <v>0</v>
      </c>
      <c r="D14" s="95">
        <f>'ORDER FORM'!$D$31</f>
        <v>0</v>
      </c>
      <c r="E14">
        <f>'ORDER FORM'!$D$8</f>
        <v>0</v>
      </c>
      <c r="F14" t="s">
        <v>47</v>
      </c>
      <c r="G14">
        <f>'ORDER FORM'!$D$10</f>
        <v>0</v>
      </c>
      <c r="H14">
        <f>'ORDER FORM'!$D$11</f>
        <v>0</v>
      </c>
      <c r="I14" s="282">
        <f>'ORDER FORM'!$E$31</f>
        <v>0</v>
      </c>
      <c r="J14" s="282">
        <f>'ORDER FORM'!$F$31</f>
        <v>0</v>
      </c>
      <c r="K14">
        <f>'ORDER FORM'!$Q$10</f>
        <v>0</v>
      </c>
      <c r="N14" t="str">
        <f>IF(ISBLANK('ORDER FORM'!$B$31),"",'ORDER FORM'!$B$31)</f>
        <v/>
      </c>
      <c r="O14" t="str">
        <f>IF(ISBLANK('ORDER FORM'!$C$31),"",'ORDER FORM'!$C$31)</f>
        <v/>
      </c>
      <c r="P14">
        <f>'ORDER FORM'!$D$16</f>
        <v>0</v>
      </c>
      <c r="Q14">
        <f>'ORDER FORM'!$K$10</f>
        <v>0</v>
      </c>
      <c r="R14">
        <f>'ORDER FORM'!$K$12</f>
        <v>0</v>
      </c>
      <c r="S14">
        <f>'ORDER FORM'!$J$11</f>
        <v>0</v>
      </c>
      <c r="X14" s="95">
        <f>'Cut List'!$H$22</f>
        <v>0</v>
      </c>
      <c r="Y14" s="95">
        <f>'Cut List'!$E$22</f>
        <v>0</v>
      </c>
      <c r="Z14" s="95">
        <f>'Cut List'!$Q$22</f>
        <v>0</v>
      </c>
      <c r="AA14" s="95">
        <f>'Cut List'!$R$22</f>
        <v>0</v>
      </c>
      <c r="AC14" t="str">
        <f>'ORDER FORM'!$D$12</f>
        <v>Standard sanding</v>
      </c>
    </row>
    <row r="15" spans="1:29" x14ac:dyDescent="0.15">
      <c r="A15" s="95">
        <f>'ORDER FORM'!$D$32</f>
        <v>0</v>
      </c>
      <c r="B15" t="str">
        <f>'ORDER FORM'!$D$7</f>
        <v>Cabinetmart Inc</v>
      </c>
      <c r="C15">
        <f>'ORDER FORM'!$E$4</f>
        <v>0</v>
      </c>
      <c r="D15" s="95">
        <f>'ORDER FORM'!$D$32</f>
        <v>0</v>
      </c>
      <c r="E15">
        <f>'ORDER FORM'!$D$8</f>
        <v>0</v>
      </c>
      <c r="F15" t="s">
        <v>47</v>
      </c>
      <c r="G15">
        <f>'ORDER FORM'!$D$10</f>
        <v>0</v>
      </c>
      <c r="H15">
        <f>'ORDER FORM'!$D$11</f>
        <v>0</v>
      </c>
      <c r="I15" s="282">
        <f>'ORDER FORM'!$E$32</f>
        <v>0</v>
      </c>
      <c r="J15" s="282">
        <f>'ORDER FORM'!$F$32</f>
        <v>0</v>
      </c>
      <c r="K15">
        <f>'ORDER FORM'!$Q$10</f>
        <v>0</v>
      </c>
      <c r="N15" t="str">
        <f>IF(ISBLANK('ORDER FORM'!$B$32),"",'ORDER FORM'!$B$32)</f>
        <v/>
      </c>
      <c r="O15" t="str">
        <f>IF(ISBLANK('ORDER FORM'!$C$32),"",'ORDER FORM'!$C$32)</f>
        <v/>
      </c>
      <c r="P15">
        <f>'ORDER FORM'!$D$16</f>
        <v>0</v>
      </c>
      <c r="Q15">
        <f>'ORDER FORM'!$K$10</f>
        <v>0</v>
      </c>
      <c r="R15">
        <f>'ORDER FORM'!$K$12</f>
        <v>0</v>
      </c>
      <c r="S15">
        <f>'ORDER FORM'!$J$11</f>
        <v>0</v>
      </c>
      <c r="X15" s="95">
        <f>'Cut List'!$H$23</f>
        <v>0</v>
      </c>
      <c r="Y15" s="95">
        <f>'Cut List'!$E$23</f>
        <v>0</v>
      </c>
      <c r="Z15" s="95">
        <f>'Cut List'!$Q$23</f>
        <v>0</v>
      </c>
      <c r="AA15" s="95">
        <f>'Cut List'!$R$23</f>
        <v>0</v>
      </c>
      <c r="AC15" t="str">
        <f>'ORDER FORM'!$D$12</f>
        <v>Standard sanding</v>
      </c>
    </row>
    <row r="16" spans="1:29" x14ac:dyDescent="0.15">
      <c r="A16" s="95">
        <f>'ORDER FORM'!$D$33</f>
        <v>0</v>
      </c>
      <c r="B16" t="str">
        <f>'ORDER FORM'!$D$7</f>
        <v>Cabinetmart Inc</v>
      </c>
      <c r="C16">
        <f>'ORDER FORM'!$E$4</f>
        <v>0</v>
      </c>
      <c r="D16" s="95">
        <f>'ORDER FORM'!$D$33</f>
        <v>0</v>
      </c>
      <c r="E16">
        <f>'ORDER FORM'!$D$8</f>
        <v>0</v>
      </c>
      <c r="F16" t="s">
        <v>47</v>
      </c>
      <c r="G16">
        <f>'ORDER FORM'!$D$10</f>
        <v>0</v>
      </c>
      <c r="H16">
        <f>'ORDER FORM'!$D$11</f>
        <v>0</v>
      </c>
      <c r="I16" s="282">
        <f>'ORDER FORM'!$E$33</f>
        <v>0</v>
      </c>
      <c r="J16" s="282">
        <f>'ORDER FORM'!$F$33</f>
        <v>0</v>
      </c>
      <c r="K16">
        <f>'ORDER FORM'!$Q$10</f>
        <v>0</v>
      </c>
      <c r="N16" t="str">
        <f>IF(ISBLANK('ORDER FORM'!$B$33),"",'ORDER FORM'!$B$33)</f>
        <v/>
      </c>
      <c r="O16" t="str">
        <f>IF(ISBLANK('ORDER FORM'!$C$33),"",'ORDER FORM'!$C$33)</f>
        <v/>
      </c>
      <c r="P16">
        <f>'ORDER FORM'!$D$16</f>
        <v>0</v>
      </c>
      <c r="Q16">
        <f>'ORDER FORM'!$K$10</f>
        <v>0</v>
      </c>
      <c r="R16">
        <f>'ORDER FORM'!$K$12</f>
        <v>0</v>
      </c>
      <c r="S16">
        <f>'ORDER FORM'!$J$11</f>
        <v>0</v>
      </c>
      <c r="X16" s="95">
        <f>'Cut List'!$H$24</f>
        <v>0</v>
      </c>
      <c r="Y16" s="95">
        <f>'Cut List'!$E$24</f>
        <v>0</v>
      </c>
      <c r="Z16" s="95">
        <f>'Cut List'!$Q$24</f>
        <v>0</v>
      </c>
      <c r="AA16" s="95">
        <f>'Cut List'!$R$24</f>
        <v>0</v>
      </c>
      <c r="AC16" t="str">
        <f>'ORDER FORM'!$D$12</f>
        <v>Standard sanding</v>
      </c>
    </row>
    <row r="17" spans="1:29" x14ac:dyDescent="0.15">
      <c r="A17" s="95">
        <f>'ORDER FORM'!$J$19</f>
        <v>0</v>
      </c>
      <c r="B17" t="str">
        <f>'ORDER FORM'!$D$7</f>
        <v>Cabinetmart Inc</v>
      </c>
      <c r="C17">
        <f>'ORDER FORM'!$E$4</f>
        <v>0</v>
      </c>
      <c r="D17" s="95">
        <f>'ORDER FORM'!$J$19</f>
        <v>0</v>
      </c>
      <c r="E17">
        <f>'ORDER FORM'!$D$8</f>
        <v>0</v>
      </c>
      <c r="F17" t="s">
        <v>48</v>
      </c>
      <c r="G17">
        <f>'ORDER FORM'!$D$10</f>
        <v>0</v>
      </c>
      <c r="H17">
        <f>'ORDER FORM'!$D$11</f>
        <v>0</v>
      </c>
      <c r="I17" s="282">
        <f>'ORDER FORM'!$K$19</f>
        <v>0</v>
      </c>
      <c r="J17" s="282">
        <f>'ORDER FORM'!$L$19</f>
        <v>0</v>
      </c>
      <c r="K17">
        <f>'ORDER FORM'!$Q$10</f>
        <v>0</v>
      </c>
      <c r="N17" t="str">
        <f>IF(ISBLANK('ORDER FORM'!$H$19),"",'ORDER FORM'!$H$19)</f>
        <v/>
      </c>
      <c r="O17" t="str">
        <f>IF(ISBLANK('ORDER FORM'!$I$19),"",'ORDER FORM'!$I$19)</f>
        <v/>
      </c>
      <c r="P17">
        <f>'ORDER FORM'!$J$16</f>
        <v>0</v>
      </c>
      <c r="Q17">
        <f>'ORDER FORM'!$K$10</f>
        <v>0</v>
      </c>
      <c r="R17">
        <f>'ORDER FORM'!$K$12</f>
        <v>0</v>
      </c>
      <c r="S17">
        <f>'ORDER FORM'!$J$11</f>
        <v>0</v>
      </c>
      <c r="X17" s="95">
        <f>'Cut List'!$H$26</f>
        <v>0</v>
      </c>
      <c r="Y17" s="95">
        <f>'Cut List'!$E$26</f>
        <v>0</v>
      </c>
      <c r="Z17" s="95">
        <f>'Cut List'!$Q$26</f>
        <v>0</v>
      </c>
      <c r="AA17" s="95">
        <f>'Cut List'!$R$26</f>
        <v>0</v>
      </c>
      <c r="AC17" t="str">
        <f>'ORDER FORM'!$D$12</f>
        <v>Standard sanding</v>
      </c>
    </row>
    <row r="18" spans="1:29" x14ac:dyDescent="0.15">
      <c r="A18" s="95">
        <f>'ORDER FORM'!$J$20</f>
        <v>0</v>
      </c>
      <c r="B18" t="str">
        <f>'ORDER FORM'!$D$7</f>
        <v>Cabinetmart Inc</v>
      </c>
      <c r="C18">
        <f>'ORDER FORM'!$E$4</f>
        <v>0</v>
      </c>
      <c r="D18" s="95">
        <f>'ORDER FORM'!$J$20</f>
        <v>0</v>
      </c>
      <c r="E18">
        <f>'ORDER FORM'!$D$8</f>
        <v>0</v>
      </c>
      <c r="F18" t="s">
        <v>48</v>
      </c>
      <c r="G18">
        <f>'ORDER FORM'!$D$10</f>
        <v>0</v>
      </c>
      <c r="H18">
        <f>'ORDER FORM'!$D$11</f>
        <v>0</v>
      </c>
      <c r="I18" s="282">
        <f>'ORDER FORM'!$K$20</f>
        <v>0</v>
      </c>
      <c r="J18" s="282">
        <f>'ORDER FORM'!$L$20</f>
        <v>0</v>
      </c>
      <c r="K18">
        <f>'ORDER FORM'!$Q$10</f>
        <v>0</v>
      </c>
      <c r="N18" t="str">
        <f>IF(ISBLANK('ORDER FORM'!$H$20),"",'ORDER FORM'!$H$20)</f>
        <v/>
      </c>
      <c r="O18" t="str">
        <f>IF(ISBLANK('ORDER FORM'!$I$20),"",'ORDER FORM'!$I$20)</f>
        <v/>
      </c>
      <c r="P18">
        <f>'ORDER FORM'!$J$16</f>
        <v>0</v>
      </c>
      <c r="Q18">
        <f>'ORDER FORM'!$K$10</f>
        <v>0</v>
      </c>
      <c r="R18">
        <f>'ORDER FORM'!$K$12</f>
        <v>0</v>
      </c>
      <c r="S18">
        <f>'ORDER FORM'!$J$11</f>
        <v>0</v>
      </c>
      <c r="X18" s="95">
        <f>'Cut List'!$H$27</f>
        <v>0</v>
      </c>
      <c r="Y18" s="95">
        <f>'Cut List'!$E$27</f>
        <v>0</v>
      </c>
      <c r="Z18" s="95">
        <f>'Cut List'!$Q$27</f>
        <v>0</v>
      </c>
      <c r="AA18" s="95">
        <f>'Cut List'!$R$27</f>
        <v>0</v>
      </c>
      <c r="AC18" t="str">
        <f>'ORDER FORM'!$D$12</f>
        <v>Standard sanding</v>
      </c>
    </row>
    <row r="19" spans="1:29" x14ac:dyDescent="0.15">
      <c r="A19" s="95">
        <f>'ORDER FORM'!$J$21</f>
        <v>0</v>
      </c>
      <c r="B19" t="str">
        <f>'ORDER FORM'!$D$7</f>
        <v>Cabinetmart Inc</v>
      </c>
      <c r="C19">
        <f>'ORDER FORM'!$E$4</f>
        <v>0</v>
      </c>
      <c r="D19" s="95">
        <f>'ORDER FORM'!$J$21</f>
        <v>0</v>
      </c>
      <c r="E19">
        <f>'ORDER FORM'!$D$8</f>
        <v>0</v>
      </c>
      <c r="F19" t="s">
        <v>48</v>
      </c>
      <c r="G19">
        <f>'ORDER FORM'!$D$10</f>
        <v>0</v>
      </c>
      <c r="H19">
        <f>'ORDER FORM'!$D$11</f>
        <v>0</v>
      </c>
      <c r="I19" s="282">
        <f>'ORDER FORM'!$K$21</f>
        <v>0</v>
      </c>
      <c r="J19" s="282">
        <f>'ORDER FORM'!$L$21</f>
        <v>0</v>
      </c>
      <c r="K19">
        <f>'ORDER FORM'!$Q$10</f>
        <v>0</v>
      </c>
      <c r="N19" t="str">
        <f>IF(ISBLANK('ORDER FORM'!$H$21),"",'ORDER FORM'!$H$21)</f>
        <v/>
      </c>
      <c r="O19" t="str">
        <f>IF(ISBLANK('ORDER FORM'!$I$21),"",'ORDER FORM'!$I$21)</f>
        <v/>
      </c>
      <c r="P19">
        <f>'ORDER FORM'!$J$16</f>
        <v>0</v>
      </c>
      <c r="Q19">
        <f>'ORDER FORM'!$K$10</f>
        <v>0</v>
      </c>
      <c r="R19">
        <f>'ORDER FORM'!$K$12</f>
        <v>0</v>
      </c>
      <c r="S19">
        <f>'ORDER FORM'!$J$11</f>
        <v>0</v>
      </c>
      <c r="X19" s="95">
        <f>'Cut List'!$H$28</f>
        <v>0</v>
      </c>
      <c r="Y19" s="95">
        <f>'Cut List'!$E$28</f>
        <v>0</v>
      </c>
      <c r="Z19" s="95">
        <f>'Cut List'!$Q$28</f>
        <v>0</v>
      </c>
      <c r="AA19" s="95">
        <f>'Cut List'!$R$28</f>
        <v>0</v>
      </c>
      <c r="AC19" t="str">
        <f>'ORDER FORM'!$D$12</f>
        <v>Standard sanding</v>
      </c>
    </row>
    <row r="20" spans="1:29" x14ac:dyDescent="0.15">
      <c r="A20" s="95">
        <f>'ORDER FORM'!$J$22</f>
        <v>0</v>
      </c>
      <c r="B20" t="str">
        <f>'ORDER FORM'!$D$7</f>
        <v>Cabinetmart Inc</v>
      </c>
      <c r="C20">
        <f>'ORDER FORM'!$E$4</f>
        <v>0</v>
      </c>
      <c r="D20" s="95">
        <f>'ORDER FORM'!$J$22</f>
        <v>0</v>
      </c>
      <c r="E20">
        <f>'ORDER FORM'!$D$8</f>
        <v>0</v>
      </c>
      <c r="F20" t="s">
        <v>48</v>
      </c>
      <c r="G20">
        <f>'ORDER FORM'!$D$10</f>
        <v>0</v>
      </c>
      <c r="H20">
        <f>'ORDER FORM'!$D$11</f>
        <v>0</v>
      </c>
      <c r="I20" s="282">
        <f>'ORDER FORM'!$K$22</f>
        <v>0</v>
      </c>
      <c r="J20" s="282">
        <f>'ORDER FORM'!$L$22</f>
        <v>0</v>
      </c>
      <c r="K20">
        <f>'ORDER FORM'!$Q$10</f>
        <v>0</v>
      </c>
      <c r="N20" t="str">
        <f>IF(ISBLANK('ORDER FORM'!$H$22),"",'ORDER FORM'!$H$22)</f>
        <v/>
      </c>
      <c r="O20" t="str">
        <f>IF(ISBLANK('ORDER FORM'!$I$22),"",'ORDER FORM'!$I$22)</f>
        <v/>
      </c>
      <c r="P20">
        <f>'ORDER FORM'!$J$16</f>
        <v>0</v>
      </c>
      <c r="Q20">
        <f>'ORDER FORM'!$K$10</f>
        <v>0</v>
      </c>
      <c r="R20">
        <f>'ORDER FORM'!$K$12</f>
        <v>0</v>
      </c>
      <c r="S20">
        <f>'ORDER FORM'!$J$11</f>
        <v>0</v>
      </c>
      <c r="X20" s="95">
        <f>'Cut List'!$H$29</f>
        <v>0</v>
      </c>
      <c r="Y20" s="95">
        <f>'Cut List'!$E$29</f>
        <v>0</v>
      </c>
      <c r="Z20" s="95">
        <f>'Cut List'!$Q$29</f>
        <v>0</v>
      </c>
      <c r="AA20" s="95">
        <f>'Cut List'!$R$29</f>
        <v>0</v>
      </c>
      <c r="AC20" t="str">
        <f>'ORDER FORM'!$D$12</f>
        <v>Standard sanding</v>
      </c>
    </row>
    <row r="21" spans="1:29" x14ac:dyDescent="0.15">
      <c r="A21" s="95">
        <f>'ORDER FORM'!$J$23</f>
        <v>0</v>
      </c>
      <c r="B21" t="str">
        <f>'ORDER FORM'!$D$7</f>
        <v>Cabinetmart Inc</v>
      </c>
      <c r="C21">
        <f>'ORDER FORM'!$E$4</f>
        <v>0</v>
      </c>
      <c r="D21" s="95">
        <f>'ORDER FORM'!$J$23</f>
        <v>0</v>
      </c>
      <c r="E21">
        <f>'ORDER FORM'!$D$8</f>
        <v>0</v>
      </c>
      <c r="F21" t="s">
        <v>48</v>
      </c>
      <c r="G21">
        <f>'ORDER FORM'!$D$10</f>
        <v>0</v>
      </c>
      <c r="H21">
        <f>'ORDER FORM'!$D$11</f>
        <v>0</v>
      </c>
      <c r="I21" s="282">
        <f>'ORDER FORM'!$K$23</f>
        <v>0</v>
      </c>
      <c r="J21" s="282">
        <f>'ORDER FORM'!$L$23</f>
        <v>0</v>
      </c>
      <c r="K21">
        <f>'ORDER FORM'!$Q$10</f>
        <v>0</v>
      </c>
      <c r="N21" t="str">
        <f>IF(ISBLANK('ORDER FORM'!$H$23),"",'ORDER FORM'!$H$23)</f>
        <v/>
      </c>
      <c r="O21" t="str">
        <f>IF(ISBLANK('ORDER FORM'!$I$23),"",'ORDER FORM'!$I$23)</f>
        <v/>
      </c>
      <c r="P21">
        <f>'ORDER FORM'!$J$16</f>
        <v>0</v>
      </c>
      <c r="Q21">
        <f>'ORDER FORM'!$K$10</f>
        <v>0</v>
      </c>
      <c r="R21">
        <f>'ORDER FORM'!$K$12</f>
        <v>0</v>
      </c>
      <c r="S21">
        <f>'ORDER FORM'!$J$11</f>
        <v>0</v>
      </c>
      <c r="X21" s="95">
        <f>'Cut List'!$H$30</f>
        <v>0</v>
      </c>
      <c r="Y21" s="95">
        <f>'Cut List'!$E$30</f>
        <v>0</v>
      </c>
      <c r="Z21" s="95">
        <f>'Cut List'!$Q$30</f>
        <v>0</v>
      </c>
      <c r="AA21" s="95">
        <f>'Cut List'!$R$30</f>
        <v>0</v>
      </c>
      <c r="AC21" t="str">
        <f>'ORDER FORM'!$D$12</f>
        <v>Standard sanding</v>
      </c>
    </row>
    <row r="22" spans="1:29" x14ac:dyDescent="0.15">
      <c r="A22" s="95">
        <f>'ORDER FORM'!$J$24</f>
        <v>0</v>
      </c>
      <c r="B22" t="str">
        <f>'ORDER FORM'!$D$7</f>
        <v>Cabinetmart Inc</v>
      </c>
      <c r="C22">
        <f>'ORDER FORM'!$E$4</f>
        <v>0</v>
      </c>
      <c r="D22" s="95">
        <f>'ORDER FORM'!$J$24</f>
        <v>0</v>
      </c>
      <c r="E22">
        <f>'ORDER FORM'!$D$8</f>
        <v>0</v>
      </c>
      <c r="F22" t="s">
        <v>48</v>
      </c>
      <c r="G22">
        <f>'ORDER FORM'!$D$10</f>
        <v>0</v>
      </c>
      <c r="H22">
        <f>'ORDER FORM'!$D$11</f>
        <v>0</v>
      </c>
      <c r="I22" s="282">
        <f>'ORDER FORM'!$K$24</f>
        <v>0</v>
      </c>
      <c r="J22" s="282">
        <f>'ORDER FORM'!$L$24</f>
        <v>0</v>
      </c>
      <c r="K22">
        <f>'ORDER FORM'!$Q$10</f>
        <v>0</v>
      </c>
      <c r="N22" t="str">
        <f>IF(ISBLANK('ORDER FORM'!$H$24),"",'ORDER FORM'!$H$24)</f>
        <v/>
      </c>
      <c r="O22" t="str">
        <f>IF(ISBLANK('ORDER FORM'!$I$24),"",'ORDER FORM'!$I$24)</f>
        <v/>
      </c>
      <c r="P22">
        <f>'ORDER FORM'!$J$16</f>
        <v>0</v>
      </c>
      <c r="Q22">
        <f>'ORDER FORM'!$K$10</f>
        <v>0</v>
      </c>
      <c r="R22">
        <f>'ORDER FORM'!$K$12</f>
        <v>0</v>
      </c>
      <c r="S22">
        <f>'ORDER FORM'!$J$11</f>
        <v>0</v>
      </c>
      <c r="X22" s="95">
        <f>'Cut List'!$H$31</f>
        <v>0</v>
      </c>
      <c r="Y22" s="95">
        <f>'Cut List'!$E$31</f>
        <v>0</v>
      </c>
      <c r="Z22" s="95">
        <f>'Cut List'!$Q$31</f>
        <v>0</v>
      </c>
      <c r="AA22" s="95">
        <f>'Cut List'!$R$31</f>
        <v>0</v>
      </c>
      <c r="AC22" t="str">
        <f>'ORDER FORM'!$D$12</f>
        <v>Standard sanding</v>
      </c>
    </row>
    <row r="23" spans="1:29" x14ac:dyDescent="0.15">
      <c r="A23" s="95">
        <f>'ORDER FORM'!$J$25</f>
        <v>0</v>
      </c>
      <c r="B23" t="str">
        <f>'ORDER FORM'!$D$7</f>
        <v>Cabinetmart Inc</v>
      </c>
      <c r="C23">
        <f>'ORDER FORM'!$E$4</f>
        <v>0</v>
      </c>
      <c r="D23" s="95">
        <f>'ORDER FORM'!$J$25</f>
        <v>0</v>
      </c>
      <c r="E23">
        <f>'ORDER FORM'!$D$8</f>
        <v>0</v>
      </c>
      <c r="F23" t="s">
        <v>48</v>
      </c>
      <c r="G23">
        <f>'ORDER FORM'!$D$10</f>
        <v>0</v>
      </c>
      <c r="H23">
        <f>'ORDER FORM'!$D$11</f>
        <v>0</v>
      </c>
      <c r="I23" s="282">
        <f>'ORDER FORM'!$K$25</f>
        <v>0</v>
      </c>
      <c r="J23" s="282">
        <f>'ORDER FORM'!$L$25</f>
        <v>0</v>
      </c>
      <c r="K23">
        <f>'ORDER FORM'!$Q$10</f>
        <v>0</v>
      </c>
      <c r="N23" t="str">
        <f>IF(ISBLANK('ORDER FORM'!$H$25),"",'ORDER FORM'!$H$25)</f>
        <v/>
      </c>
      <c r="O23" t="str">
        <f>IF(ISBLANK('ORDER FORM'!$I$25),"",'ORDER FORM'!$I$25)</f>
        <v/>
      </c>
      <c r="P23">
        <f>'ORDER FORM'!$J$16</f>
        <v>0</v>
      </c>
      <c r="Q23">
        <f>'ORDER FORM'!$K$10</f>
        <v>0</v>
      </c>
      <c r="R23">
        <f>'ORDER FORM'!$K$12</f>
        <v>0</v>
      </c>
      <c r="S23">
        <f>'ORDER FORM'!$J$11</f>
        <v>0</v>
      </c>
      <c r="X23" s="95">
        <f>'Cut List'!$H$32</f>
        <v>0</v>
      </c>
      <c r="Y23" s="95">
        <f>'Cut List'!$E$32</f>
        <v>0</v>
      </c>
      <c r="Z23" s="95">
        <f>'Cut List'!$Q$32</f>
        <v>0</v>
      </c>
      <c r="AA23" s="95">
        <f>'Cut List'!$R$32</f>
        <v>0</v>
      </c>
      <c r="AC23" t="str">
        <f>'ORDER FORM'!$D$12</f>
        <v>Standard sanding</v>
      </c>
    </row>
    <row r="24" spans="1:29" x14ac:dyDescent="0.15">
      <c r="A24" s="95">
        <f>'ORDER FORM'!$J$26</f>
        <v>0</v>
      </c>
      <c r="B24" t="str">
        <f>'ORDER FORM'!$D$7</f>
        <v>Cabinetmart Inc</v>
      </c>
      <c r="C24">
        <f>'ORDER FORM'!$E$4</f>
        <v>0</v>
      </c>
      <c r="D24" s="95">
        <f>'ORDER FORM'!$J$26</f>
        <v>0</v>
      </c>
      <c r="E24">
        <f>'ORDER FORM'!$D$8</f>
        <v>0</v>
      </c>
      <c r="F24" t="s">
        <v>48</v>
      </c>
      <c r="G24">
        <f>'ORDER FORM'!$D$10</f>
        <v>0</v>
      </c>
      <c r="H24">
        <f>'ORDER FORM'!$D$11</f>
        <v>0</v>
      </c>
      <c r="I24" s="282">
        <f>'ORDER FORM'!$K$26</f>
        <v>0</v>
      </c>
      <c r="J24" s="282">
        <f>'ORDER FORM'!$L$26</f>
        <v>0</v>
      </c>
      <c r="K24">
        <f>'ORDER FORM'!$Q$10</f>
        <v>0</v>
      </c>
      <c r="N24" t="str">
        <f>IF(ISBLANK('ORDER FORM'!$H$26),"",'ORDER FORM'!$H$26)</f>
        <v/>
      </c>
      <c r="O24" t="str">
        <f>IF(ISBLANK('ORDER FORM'!$I$26),"",'ORDER FORM'!$I$26)</f>
        <v/>
      </c>
      <c r="P24">
        <f>'ORDER FORM'!$J$16</f>
        <v>0</v>
      </c>
      <c r="Q24">
        <f>'ORDER FORM'!$K$10</f>
        <v>0</v>
      </c>
      <c r="R24">
        <f>'ORDER FORM'!$K$12</f>
        <v>0</v>
      </c>
      <c r="S24">
        <f>'ORDER FORM'!$J$11</f>
        <v>0</v>
      </c>
      <c r="X24" s="95">
        <f>'Cut List'!$H$33</f>
        <v>0</v>
      </c>
      <c r="Y24" s="95">
        <f>'Cut List'!$E$33</f>
        <v>0</v>
      </c>
      <c r="Z24" s="95">
        <f>'Cut List'!$Q$33</f>
        <v>0</v>
      </c>
      <c r="AA24" s="95">
        <f>'Cut List'!$R$33</f>
        <v>0</v>
      </c>
      <c r="AC24" t="str">
        <f>'ORDER FORM'!$D$12</f>
        <v>Standard sanding</v>
      </c>
    </row>
    <row r="25" spans="1:29" x14ac:dyDescent="0.15">
      <c r="A25" s="95">
        <f>'ORDER FORM'!$J$27</f>
        <v>0</v>
      </c>
      <c r="B25" t="str">
        <f>'ORDER FORM'!$D$7</f>
        <v>Cabinetmart Inc</v>
      </c>
      <c r="C25">
        <f>'ORDER FORM'!$E$4</f>
        <v>0</v>
      </c>
      <c r="D25" s="95">
        <f>'ORDER FORM'!$J$27</f>
        <v>0</v>
      </c>
      <c r="E25">
        <f>'ORDER FORM'!$D$8</f>
        <v>0</v>
      </c>
      <c r="F25" t="s">
        <v>48</v>
      </c>
      <c r="G25">
        <f>'ORDER FORM'!$D$10</f>
        <v>0</v>
      </c>
      <c r="H25">
        <f>'ORDER FORM'!$D$11</f>
        <v>0</v>
      </c>
      <c r="I25" s="282">
        <f>'ORDER FORM'!$K$27</f>
        <v>0</v>
      </c>
      <c r="J25" s="282">
        <f>'ORDER FORM'!$L$27</f>
        <v>0</v>
      </c>
      <c r="K25">
        <f>'ORDER FORM'!$Q$10</f>
        <v>0</v>
      </c>
      <c r="N25" t="str">
        <f>IF(ISBLANK('ORDER FORM'!$H$27),"",'ORDER FORM'!$H$27)</f>
        <v/>
      </c>
      <c r="O25" t="str">
        <f>IF(ISBLANK('ORDER FORM'!$I$27),"",'ORDER FORM'!$I$27)</f>
        <v/>
      </c>
      <c r="P25">
        <f>'ORDER FORM'!$J$16</f>
        <v>0</v>
      </c>
      <c r="Q25">
        <f>'ORDER FORM'!$K$10</f>
        <v>0</v>
      </c>
      <c r="R25">
        <f>'ORDER FORM'!$K$12</f>
        <v>0</v>
      </c>
      <c r="S25">
        <f>'ORDER FORM'!$J$11</f>
        <v>0</v>
      </c>
      <c r="X25" s="95">
        <f>'Cut List'!$H$34</f>
        <v>0</v>
      </c>
      <c r="Y25" s="95">
        <f>'Cut List'!$E$34</f>
        <v>0</v>
      </c>
      <c r="Z25" s="95">
        <f>'Cut List'!$Q$34</f>
        <v>0</v>
      </c>
      <c r="AA25" s="95">
        <f>'Cut List'!$R$34</f>
        <v>0</v>
      </c>
      <c r="AC25" t="str">
        <f>'ORDER FORM'!$D$12</f>
        <v>Standard sanding</v>
      </c>
    </row>
    <row r="26" spans="1:29" x14ac:dyDescent="0.15">
      <c r="A26" s="95">
        <f>'ORDER FORM'!$J$28</f>
        <v>0</v>
      </c>
      <c r="B26" t="str">
        <f>'ORDER FORM'!$D$7</f>
        <v>Cabinetmart Inc</v>
      </c>
      <c r="C26">
        <f>'ORDER FORM'!$E$4</f>
        <v>0</v>
      </c>
      <c r="D26" s="95">
        <f>'ORDER FORM'!$J$28</f>
        <v>0</v>
      </c>
      <c r="E26">
        <f>'ORDER FORM'!$D$8</f>
        <v>0</v>
      </c>
      <c r="F26" t="s">
        <v>48</v>
      </c>
      <c r="G26">
        <f>'ORDER FORM'!$D$10</f>
        <v>0</v>
      </c>
      <c r="H26">
        <f>'ORDER FORM'!$D$11</f>
        <v>0</v>
      </c>
      <c r="I26" s="282">
        <f>'ORDER FORM'!$K$28</f>
        <v>0</v>
      </c>
      <c r="J26" s="282">
        <f>'ORDER FORM'!$L$28</f>
        <v>0</v>
      </c>
      <c r="K26">
        <f>'ORDER FORM'!$Q$10</f>
        <v>0</v>
      </c>
      <c r="N26" t="str">
        <f>IF(ISBLANK('ORDER FORM'!$H$28),"",'ORDER FORM'!$H$28)</f>
        <v/>
      </c>
      <c r="O26" t="str">
        <f>IF(ISBLANK('ORDER FORM'!$I$28),"",'ORDER FORM'!$I$28)</f>
        <v/>
      </c>
      <c r="P26">
        <f>'ORDER FORM'!$J$16</f>
        <v>0</v>
      </c>
      <c r="Q26">
        <f>'ORDER FORM'!$K$10</f>
        <v>0</v>
      </c>
      <c r="R26">
        <f>'ORDER FORM'!$K$12</f>
        <v>0</v>
      </c>
      <c r="S26">
        <f>'ORDER FORM'!$J$11</f>
        <v>0</v>
      </c>
      <c r="X26" s="95">
        <f>'Cut List'!$H$35</f>
        <v>0</v>
      </c>
      <c r="Y26" s="95">
        <f>'Cut List'!$E$35</f>
        <v>0</v>
      </c>
      <c r="Z26" s="95">
        <f>'Cut List'!$Q$35</f>
        <v>0</v>
      </c>
      <c r="AA26" s="95">
        <f>'Cut List'!$R$35</f>
        <v>0</v>
      </c>
      <c r="AC26" t="str">
        <f>'ORDER FORM'!$D$12</f>
        <v>Standard sanding</v>
      </c>
    </row>
    <row r="27" spans="1:29" x14ac:dyDescent="0.15">
      <c r="A27" s="95">
        <f>'ORDER FORM'!$J$29</f>
        <v>0</v>
      </c>
      <c r="B27" t="str">
        <f>'ORDER FORM'!$D$7</f>
        <v>Cabinetmart Inc</v>
      </c>
      <c r="C27">
        <f>'ORDER FORM'!$E$4</f>
        <v>0</v>
      </c>
      <c r="D27" s="95">
        <f>'ORDER FORM'!$J$29</f>
        <v>0</v>
      </c>
      <c r="E27">
        <f>'ORDER FORM'!$D$8</f>
        <v>0</v>
      </c>
      <c r="F27" t="s">
        <v>48</v>
      </c>
      <c r="G27">
        <f>'ORDER FORM'!$D$10</f>
        <v>0</v>
      </c>
      <c r="H27">
        <f>'ORDER FORM'!$D$11</f>
        <v>0</v>
      </c>
      <c r="I27" s="282">
        <f>'ORDER FORM'!$K$29</f>
        <v>0</v>
      </c>
      <c r="J27" s="282">
        <f>'ORDER FORM'!$L$29</f>
        <v>0</v>
      </c>
      <c r="K27">
        <f>'ORDER FORM'!$Q$10</f>
        <v>0</v>
      </c>
      <c r="N27" t="str">
        <f>IF(ISBLANK('ORDER FORM'!$H$29),"",'ORDER FORM'!$H$29)</f>
        <v/>
      </c>
      <c r="O27" t="str">
        <f>IF(ISBLANK('ORDER FORM'!$I$29),"",'ORDER FORM'!$I$29)</f>
        <v/>
      </c>
      <c r="P27">
        <f>'ORDER FORM'!$J$16</f>
        <v>0</v>
      </c>
      <c r="Q27">
        <f>'ORDER FORM'!$K$10</f>
        <v>0</v>
      </c>
      <c r="R27">
        <f>'ORDER FORM'!$K$12</f>
        <v>0</v>
      </c>
      <c r="S27">
        <f>'ORDER FORM'!$J$11</f>
        <v>0</v>
      </c>
      <c r="X27" s="95">
        <f>'Cut List'!$H$36</f>
        <v>0</v>
      </c>
      <c r="Y27" s="95">
        <f>'Cut List'!$E$36</f>
        <v>0</v>
      </c>
      <c r="Z27" s="95">
        <f>'Cut List'!$Q$36</f>
        <v>0</v>
      </c>
      <c r="AA27" s="95">
        <f>'Cut List'!$R$36</f>
        <v>0</v>
      </c>
      <c r="AC27" t="str">
        <f>'ORDER FORM'!$D$12</f>
        <v>Standard sanding</v>
      </c>
    </row>
    <row r="28" spans="1:29" x14ac:dyDescent="0.15">
      <c r="A28" s="95">
        <f>'ORDER FORM'!$J$30</f>
        <v>0</v>
      </c>
      <c r="B28" t="str">
        <f>'ORDER FORM'!$D$7</f>
        <v>Cabinetmart Inc</v>
      </c>
      <c r="C28">
        <f>'ORDER FORM'!$E$4</f>
        <v>0</v>
      </c>
      <c r="D28" s="95">
        <f>'ORDER FORM'!$J$30</f>
        <v>0</v>
      </c>
      <c r="E28">
        <f>'ORDER FORM'!$D$8</f>
        <v>0</v>
      </c>
      <c r="F28" t="s">
        <v>48</v>
      </c>
      <c r="G28">
        <f>'ORDER FORM'!$D$10</f>
        <v>0</v>
      </c>
      <c r="H28">
        <f>'ORDER FORM'!$D$11</f>
        <v>0</v>
      </c>
      <c r="I28" s="282">
        <f>'ORDER FORM'!$K$30</f>
        <v>0</v>
      </c>
      <c r="J28" s="282">
        <f>'ORDER FORM'!$L$30</f>
        <v>0</v>
      </c>
      <c r="K28">
        <f>'ORDER FORM'!$Q$10</f>
        <v>0</v>
      </c>
      <c r="N28" t="str">
        <f>IF(ISBLANK('ORDER FORM'!$H$30),"",'ORDER FORM'!$H$30)</f>
        <v/>
      </c>
      <c r="O28" t="str">
        <f>IF(ISBLANK('ORDER FORM'!$I$30),"",'ORDER FORM'!$I$30)</f>
        <v/>
      </c>
      <c r="P28">
        <f>'ORDER FORM'!$J$16</f>
        <v>0</v>
      </c>
      <c r="Q28">
        <f>'ORDER FORM'!$K$10</f>
        <v>0</v>
      </c>
      <c r="R28">
        <f>'ORDER FORM'!$K$12</f>
        <v>0</v>
      </c>
      <c r="S28">
        <f>'ORDER FORM'!$J$11</f>
        <v>0</v>
      </c>
      <c r="X28" s="95">
        <f>'Cut List'!$H$37</f>
        <v>0</v>
      </c>
      <c r="Y28" s="95">
        <f>'Cut List'!$E$37</f>
        <v>0</v>
      </c>
      <c r="Z28" s="95">
        <f>'Cut List'!$Q$37</f>
        <v>0</v>
      </c>
      <c r="AA28" s="95">
        <f>'Cut List'!$R$37</f>
        <v>0</v>
      </c>
      <c r="AC28" t="str">
        <f>'ORDER FORM'!$D$12</f>
        <v>Standard sanding</v>
      </c>
    </row>
    <row r="29" spans="1:29" x14ac:dyDescent="0.15">
      <c r="A29" s="95">
        <f>'ORDER FORM'!$J$31</f>
        <v>0</v>
      </c>
      <c r="B29" t="str">
        <f>'ORDER FORM'!$D$7</f>
        <v>Cabinetmart Inc</v>
      </c>
      <c r="C29">
        <f>'ORDER FORM'!$E$4</f>
        <v>0</v>
      </c>
      <c r="D29" s="95">
        <f>'ORDER FORM'!$J$31</f>
        <v>0</v>
      </c>
      <c r="E29">
        <f>'ORDER FORM'!$D$8</f>
        <v>0</v>
      </c>
      <c r="F29" t="s">
        <v>48</v>
      </c>
      <c r="G29">
        <f>'ORDER FORM'!$D$10</f>
        <v>0</v>
      </c>
      <c r="H29">
        <f>'ORDER FORM'!$D$11</f>
        <v>0</v>
      </c>
      <c r="I29" s="282">
        <f>'ORDER FORM'!$K$31</f>
        <v>0</v>
      </c>
      <c r="J29" s="282">
        <f>'ORDER FORM'!$L$31</f>
        <v>0</v>
      </c>
      <c r="K29">
        <f>'ORDER FORM'!$Q$10</f>
        <v>0</v>
      </c>
      <c r="N29" t="str">
        <f>IF(ISBLANK('ORDER FORM'!$H$31),"",'ORDER FORM'!$H$31)</f>
        <v/>
      </c>
      <c r="O29" t="str">
        <f>IF(ISBLANK('ORDER FORM'!$I$31),"",'ORDER FORM'!$I$31)</f>
        <v/>
      </c>
      <c r="P29">
        <f>'ORDER FORM'!$J$16</f>
        <v>0</v>
      </c>
      <c r="Q29">
        <f>'ORDER FORM'!$K$10</f>
        <v>0</v>
      </c>
      <c r="R29">
        <f>'ORDER FORM'!$K$12</f>
        <v>0</v>
      </c>
      <c r="S29">
        <f>'ORDER FORM'!$J$11</f>
        <v>0</v>
      </c>
      <c r="X29" s="95">
        <f>'Cut List'!$H$38</f>
        <v>0</v>
      </c>
      <c r="Y29" s="95">
        <f>'Cut List'!$E$38</f>
        <v>0</v>
      </c>
      <c r="Z29" s="95">
        <f>'Cut List'!$Q$38</f>
        <v>0</v>
      </c>
      <c r="AA29" s="95">
        <f>'Cut List'!$R$38</f>
        <v>0</v>
      </c>
      <c r="AC29" t="str">
        <f>'ORDER FORM'!$D$12</f>
        <v>Standard sanding</v>
      </c>
    </row>
    <row r="30" spans="1:29" x14ac:dyDescent="0.15">
      <c r="A30" s="95">
        <f>'ORDER FORM'!$J$32</f>
        <v>0</v>
      </c>
      <c r="B30" t="str">
        <f>'ORDER FORM'!$D$7</f>
        <v>Cabinetmart Inc</v>
      </c>
      <c r="C30">
        <f>'ORDER FORM'!$E$4</f>
        <v>0</v>
      </c>
      <c r="D30" s="95">
        <f>'ORDER FORM'!$J$32</f>
        <v>0</v>
      </c>
      <c r="E30">
        <f>'ORDER FORM'!$D$8</f>
        <v>0</v>
      </c>
      <c r="F30" t="s">
        <v>48</v>
      </c>
      <c r="G30">
        <f>'ORDER FORM'!$D$10</f>
        <v>0</v>
      </c>
      <c r="H30">
        <f>'ORDER FORM'!$D$11</f>
        <v>0</v>
      </c>
      <c r="I30" s="282">
        <f>'ORDER FORM'!$K$32</f>
        <v>0</v>
      </c>
      <c r="J30" s="282">
        <f>ROUND('ORDER FORM'!$L$32,3)</f>
        <v>0</v>
      </c>
      <c r="K30">
        <f>'ORDER FORM'!$Q$10</f>
        <v>0</v>
      </c>
      <c r="N30" t="str">
        <f>IF(ISBLANK('ORDER FORM'!$H$32),"",'ORDER FORM'!$H$32)</f>
        <v/>
      </c>
      <c r="O30" t="str">
        <f>IF(ISBLANK('ORDER FORM'!$I$32),"",'ORDER FORM'!$I$32)</f>
        <v/>
      </c>
      <c r="P30">
        <f>'ORDER FORM'!$J$16</f>
        <v>0</v>
      </c>
      <c r="Q30">
        <f>'ORDER FORM'!$K$10</f>
        <v>0</v>
      </c>
      <c r="R30">
        <f>'ORDER FORM'!$K$12</f>
        <v>0</v>
      </c>
      <c r="S30">
        <f>'ORDER FORM'!$J$11</f>
        <v>0</v>
      </c>
      <c r="X30" s="95">
        <f>'Cut List'!$H$39</f>
        <v>0</v>
      </c>
      <c r="Y30" s="95">
        <f>'Cut List'!$E$39</f>
        <v>0</v>
      </c>
      <c r="Z30" s="95">
        <f>'Cut List'!$Q$39</f>
        <v>0</v>
      </c>
      <c r="AA30" s="95">
        <f>'Cut List'!$R$39</f>
        <v>0</v>
      </c>
      <c r="AC30" t="str">
        <f>'ORDER FORM'!$D$12</f>
        <v>Standard sanding</v>
      </c>
    </row>
    <row r="31" spans="1:29" x14ac:dyDescent="0.15">
      <c r="A31" s="95">
        <f>'ORDER FORM'!$J$33</f>
        <v>0</v>
      </c>
      <c r="B31" t="str">
        <f>'ORDER FORM'!$D$7</f>
        <v>Cabinetmart Inc</v>
      </c>
      <c r="C31">
        <f>'ORDER FORM'!$E$4</f>
        <v>0</v>
      </c>
      <c r="D31" s="95">
        <f>'ORDER FORM'!$J$33</f>
        <v>0</v>
      </c>
      <c r="E31">
        <f>'ORDER FORM'!$D$8</f>
        <v>0</v>
      </c>
      <c r="F31" t="s">
        <v>48</v>
      </c>
      <c r="G31">
        <f>'ORDER FORM'!$D$10</f>
        <v>0</v>
      </c>
      <c r="H31">
        <f>'ORDER FORM'!$D$11</f>
        <v>0</v>
      </c>
      <c r="I31" s="282">
        <f>'ORDER FORM'!$K$33</f>
        <v>0</v>
      </c>
      <c r="J31" s="282">
        <f>'ORDER FORM'!$L$33</f>
        <v>0</v>
      </c>
      <c r="K31">
        <f>'ORDER FORM'!$Q$10</f>
        <v>0</v>
      </c>
      <c r="N31" t="str">
        <f>IF(ISBLANK('ORDER FORM'!$H$33),"",'ORDER FORM'!$H$33)</f>
        <v/>
      </c>
      <c r="O31" t="str">
        <f>IF(ISBLANK('ORDER FORM'!$I$33),"",'ORDER FORM'!$I$33)</f>
        <v/>
      </c>
      <c r="P31">
        <f>'ORDER FORM'!$J$16</f>
        <v>0</v>
      </c>
      <c r="Q31">
        <f>'ORDER FORM'!$K$10</f>
        <v>0</v>
      </c>
      <c r="R31">
        <f>'ORDER FORM'!$K$12</f>
        <v>0</v>
      </c>
      <c r="S31">
        <f>'ORDER FORM'!$J$11</f>
        <v>0</v>
      </c>
      <c r="X31" s="95">
        <f>'Cut List'!$H$40</f>
        <v>0</v>
      </c>
      <c r="Y31" s="95">
        <f>'Cut List'!$E$40</f>
        <v>0</v>
      </c>
      <c r="Z31" s="95">
        <f>'Cut List'!$Q$40</f>
        <v>0</v>
      </c>
      <c r="AA31" s="95">
        <f>'Cut List'!$R$40</f>
        <v>0</v>
      </c>
      <c r="AC31" t="str">
        <f>'ORDER FORM'!$D$12</f>
        <v>Standard sanding</v>
      </c>
    </row>
    <row r="32" spans="1:29" x14ac:dyDescent="0.15">
      <c r="A32" s="95">
        <f>'ORDER FORM'!$O$19</f>
        <v>0</v>
      </c>
      <c r="B32" t="str">
        <f>'ORDER FORM'!$D$7</f>
        <v>Cabinetmart Inc</v>
      </c>
      <c r="C32">
        <f>'ORDER FORM'!$E$4</f>
        <v>0</v>
      </c>
      <c r="D32" s="95">
        <f>'ORDER FORM'!$O$19</f>
        <v>0</v>
      </c>
      <c r="E32">
        <f>'ORDER FORM'!$D$8</f>
        <v>0</v>
      </c>
      <c r="F32" t="s">
        <v>49</v>
      </c>
      <c r="G32">
        <f>'ORDER FORM'!$D$10</f>
        <v>0</v>
      </c>
      <c r="H32">
        <f>'ORDER FORM'!$D$11</f>
        <v>0</v>
      </c>
      <c r="I32" s="282">
        <f>'ORDER FORM'!$P$19</f>
        <v>0</v>
      </c>
      <c r="J32" s="282">
        <f>'ORDER FORM'!$R$19</f>
        <v>0</v>
      </c>
      <c r="P32" t="s">
        <v>480</v>
      </c>
      <c r="Q32">
        <f>'ORDER FORM'!$K$10</f>
        <v>0</v>
      </c>
      <c r="R32">
        <f>'ORDER FORM'!$K$12</f>
        <v>0</v>
      </c>
      <c r="S32">
        <f>'ORDER FORM'!$J$11</f>
        <v>0</v>
      </c>
      <c r="X32" s="95">
        <f>'Cut List'!$H$42</f>
        <v>0</v>
      </c>
      <c r="Y32" s="95">
        <f>'Cut List'!$E$42</f>
        <v>0</v>
      </c>
      <c r="Z32" s="95">
        <f>'Cut List'!$Q$42</f>
        <v>0</v>
      </c>
      <c r="AA32" s="95">
        <f>'Cut List'!$R$42</f>
        <v>0</v>
      </c>
      <c r="AC32" t="str">
        <f>'ORDER FORM'!$D$12</f>
        <v>Standard sanding</v>
      </c>
    </row>
    <row r="33" spans="1:29" x14ac:dyDescent="0.15">
      <c r="A33" s="95">
        <f>'ORDER FORM'!$O$20</f>
        <v>0</v>
      </c>
      <c r="B33" t="str">
        <f>'ORDER FORM'!$D$7</f>
        <v>Cabinetmart Inc</v>
      </c>
      <c r="C33">
        <f>'ORDER FORM'!$E$4</f>
        <v>0</v>
      </c>
      <c r="D33" s="95">
        <f>'ORDER FORM'!$O$20</f>
        <v>0</v>
      </c>
      <c r="E33">
        <f>'ORDER FORM'!$D$8</f>
        <v>0</v>
      </c>
      <c r="F33" t="s">
        <v>49</v>
      </c>
      <c r="G33">
        <f>'ORDER FORM'!$D$10</f>
        <v>0</v>
      </c>
      <c r="H33">
        <f>'ORDER FORM'!$D$11</f>
        <v>0</v>
      </c>
      <c r="I33" s="282">
        <f>'ORDER FORM'!$P$20</f>
        <v>0</v>
      </c>
      <c r="J33" s="282">
        <f>'ORDER FORM'!$R$20</f>
        <v>0</v>
      </c>
      <c r="P33" t="s">
        <v>480</v>
      </c>
      <c r="Q33">
        <f>'ORDER FORM'!$K$10</f>
        <v>0</v>
      </c>
      <c r="R33">
        <f>'ORDER FORM'!$K$12</f>
        <v>0</v>
      </c>
      <c r="S33">
        <f>'ORDER FORM'!$J$11</f>
        <v>0</v>
      </c>
      <c r="X33" s="95">
        <f>'Cut List'!$H$43</f>
        <v>0</v>
      </c>
      <c r="Y33" s="95">
        <f>'Cut List'!$E$43</f>
        <v>0</v>
      </c>
      <c r="Z33" s="95">
        <f>'Cut List'!$Q$43</f>
        <v>0</v>
      </c>
      <c r="AA33" s="95">
        <f>'Cut List'!$R$43</f>
        <v>0</v>
      </c>
      <c r="AC33" t="str">
        <f>'ORDER FORM'!$D$12</f>
        <v>Standard sanding</v>
      </c>
    </row>
    <row r="34" spans="1:29" x14ac:dyDescent="0.15">
      <c r="A34" s="95">
        <f>'ORDER FORM'!$O$21</f>
        <v>0</v>
      </c>
      <c r="B34" t="str">
        <f>'ORDER FORM'!$D$7</f>
        <v>Cabinetmart Inc</v>
      </c>
      <c r="C34">
        <f>'ORDER FORM'!$E$4</f>
        <v>0</v>
      </c>
      <c r="D34" s="95">
        <f>'ORDER FORM'!$O$21</f>
        <v>0</v>
      </c>
      <c r="E34">
        <f>'ORDER FORM'!$D$8</f>
        <v>0</v>
      </c>
      <c r="F34" t="s">
        <v>49</v>
      </c>
      <c r="G34">
        <f>'ORDER FORM'!$D$10</f>
        <v>0</v>
      </c>
      <c r="H34">
        <f>'ORDER FORM'!$D$11</f>
        <v>0</v>
      </c>
      <c r="I34" s="282">
        <f>'ORDER FORM'!$P$21</f>
        <v>0</v>
      </c>
      <c r="J34" s="282">
        <f>'ORDER FORM'!$R$21</f>
        <v>0</v>
      </c>
      <c r="P34" t="s">
        <v>480</v>
      </c>
      <c r="Q34">
        <f>'ORDER FORM'!$K$10</f>
        <v>0</v>
      </c>
      <c r="R34">
        <f>'ORDER FORM'!$K$12</f>
        <v>0</v>
      </c>
      <c r="S34">
        <f>'ORDER FORM'!$J$11</f>
        <v>0</v>
      </c>
      <c r="X34" s="95">
        <f>'Cut List'!$H$44</f>
        <v>0</v>
      </c>
      <c r="Y34" s="95">
        <f>'Cut List'!$E$44</f>
        <v>0</v>
      </c>
      <c r="Z34" s="95">
        <f>'Cut List'!$Q$44</f>
        <v>0</v>
      </c>
      <c r="AA34" s="95">
        <f>'Cut List'!$R$44</f>
        <v>0</v>
      </c>
      <c r="AC34" t="str">
        <f>'ORDER FORM'!$D$12</f>
        <v>Standard sanding</v>
      </c>
    </row>
    <row r="35" spans="1:29" x14ac:dyDescent="0.15">
      <c r="A35" s="95">
        <f>'ORDER FORM'!$O$22</f>
        <v>0</v>
      </c>
      <c r="B35" t="str">
        <f>'ORDER FORM'!$D$7</f>
        <v>Cabinetmart Inc</v>
      </c>
      <c r="C35">
        <f>'ORDER FORM'!$E$4</f>
        <v>0</v>
      </c>
      <c r="D35" s="95">
        <f>'ORDER FORM'!$O$22</f>
        <v>0</v>
      </c>
      <c r="E35">
        <f>'ORDER FORM'!$D$8</f>
        <v>0</v>
      </c>
      <c r="F35" t="s">
        <v>49</v>
      </c>
      <c r="G35">
        <f>'ORDER FORM'!$D$10</f>
        <v>0</v>
      </c>
      <c r="H35">
        <f>'ORDER FORM'!$D$11</f>
        <v>0</v>
      </c>
      <c r="I35" s="282">
        <f>'ORDER FORM'!$P$22</f>
        <v>0</v>
      </c>
      <c r="J35" s="282">
        <f>'ORDER FORM'!$R$22</f>
        <v>0</v>
      </c>
      <c r="P35" t="s">
        <v>480</v>
      </c>
      <c r="Q35">
        <f>'ORDER FORM'!$K$10</f>
        <v>0</v>
      </c>
      <c r="R35">
        <f>'ORDER FORM'!$K$12</f>
        <v>0</v>
      </c>
      <c r="S35">
        <f>'ORDER FORM'!$J$11</f>
        <v>0</v>
      </c>
      <c r="X35" s="95">
        <f>'Cut List'!$H$45</f>
        <v>0</v>
      </c>
      <c r="Y35" s="95">
        <f>'Cut List'!$E$45</f>
        <v>0</v>
      </c>
      <c r="Z35" s="95">
        <f>'Cut List'!$Q$45</f>
        <v>0</v>
      </c>
      <c r="AA35" s="95">
        <f>'Cut List'!$R$45</f>
        <v>0</v>
      </c>
      <c r="AC35" t="str">
        <f>'ORDER FORM'!$D$12</f>
        <v>Standard sanding</v>
      </c>
    </row>
    <row r="36" spans="1:29" x14ac:dyDescent="0.15">
      <c r="A36" s="95">
        <f>'ORDER FORM'!$O$23</f>
        <v>0</v>
      </c>
      <c r="B36" t="str">
        <f>'ORDER FORM'!$D$7</f>
        <v>Cabinetmart Inc</v>
      </c>
      <c r="C36">
        <f>'ORDER FORM'!$E$4</f>
        <v>0</v>
      </c>
      <c r="D36" s="95">
        <f>'ORDER FORM'!$O$23</f>
        <v>0</v>
      </c>
      <c r="E36">
        <f>'ORDER FORM'!$D$8</f>
        <v>0</v>
      </c>
      <c r="F36" t="s">
        <v>49</v>
      </c>
      <c r="G36">
        <f>'ORDER FORM'!$D$10</f>
        <v>0</v>
      </c>
      <c r="H36">
        <f>'ORDER FORM'!$D$11</f>
        <v>0</v>
      </c>
      <c r="I36" s="282">
        <f>'ORDER FORM'!$P$23</f>
        <v>0</v>
      </c>
      <c r="J36" s="282">
        <f>'ORDER FORM'!$R$23</f>
        <v>0</v>
      </c>
      <c r="P36" t="s">
        <v>480</v>
      </c>
      <c r="Q36">
        <f>'ORDER FORM'!$K$10</f>
        <v>0</v>
      </c>
      <c r="R36">
        <f>'ORDER FORM'!$K$12</f>
        <v>0</v>
      </c>
      <c r="S36">
        <f>'ORDER FORM'!$J$11</f>
        <v>0</v>
      </c>
      <c r="X36" s="95">
        <f>'Cut List'!$H$46</f>
        <v>0</v>
      </c>
      <c r="Y36" s="95">
        <f>'Cut List'!$E$46</f>
        <v>0</v>
      </c>
      <c r="Z36" s="95">
        <f>'Cut List'!$Q$46</f>
        <v>0</v>
      </c>
      <c r="AA36" s="95">
        <f>'Cut List'!$R$46</f>
        <v>0</v>
      </c>
      <c r="AC36" t="str">
        <f>'ORDER FORM'!$D$12</f>
        <v>Standard sanding</v>
      </c>
    </row>
    <row r="37" spans="1:29" x14ac:dyDescent="0.15">
      <c r="A37" s="95">
        <f>'ORDER FORM'!$O$24</f>
        <v>0</v>
      </c>
      <c r="B37" t="str">
        <f>'ORDER FORM'!$D$7</f>
        <v>Cabinetmart Inc</v>
      </c>
      <c r="C37">
        <f>'ORDER FORM'!$E$4</f>
        <v>0</v>
      </c>
      <c r="D37" s="95">
        <f>'ORDER FORM'!$O$24</f>
        <v>0</v>
      </c>
      <c r="E37">
        <f>'ORDER FORM'!$D$8</f>
        <v>0</v>
      </c>
      <c r="F37" t="s">
        <v>49</v>
      </c>
      <c r="G37">
        <f>'ORDER FORM'!$D$10</f>
        <v>0</v>
      </c>
      <c r="H37">
        <f>'ORDER FORM'!$D$11</f>
        <v>0</v>
      </c>
      <c r="I37" s="282">
        <f>'ORDER FORM'!$P$24</f>
        <v>0</v>
      </c>
      <c r="J37" s="282">
        <f>'ORDER FORM'!$R$24</f>
        <v>0</v>
      </c>
      <c r="P37" t="s">
        <v>480</v>
      </c>
      <c r="Q37">
        <f>'ORDER FORM'!$K$10</f>
        <v>0</v>
      </c>
      <c r="R37">
        <f>'ORDER FORM'!$K$12</f>
        <v>0</v>
      </c>
      <c r="S37">
        <f>'ORDER FORM'!$J$11</f>
        <v>0</v>
      </c>
      <c r="X37" s="95">
        <f>'Cut List'!$H$47</f>
        <v>0</v>
      </c>
      <c r="Y37" s="95">
        <f>'Cut List'!$E$47</f>
        <v>0</v>
      </c>
      <c r="Z37" s="95">
        <f>'Cut List'!$Q$47</f>
        <v>0</v>
      </c>
      <c r="AA37" s="95">
        <f>'Cut List'!$R$47</f>
        <v>0</v>
      </c>
      <c r="AC37" t="str">
        <f>'ORDER FORM'!$D$12</f>
        <v>Standard sanding</v>
      </c>
    </row>
    <row r="38" spans="1:29" x14ac:dyDescent="0.15">
      <c r="A38" s="95">
        <f>'ORDER FORM'!$O$25</f>
        <v>0</v>
      </c>
      <c r="B38" t="str">
        <f>'ORDER FORM'!$D$7</f>
        <v>Cabinetmart Inc</v>
      </c>
      <c r="C38">
        <f>'ORDER FORM'!$E$4</f>
        <v>0</v>
      </c>
      <c r="D38" s="95">
        <f>'ORDER FORM'!$O$25</f>
        <v>0</v>
      </c>
      <c r="E38">
        <f>'ORDER FORM'!$D$8</f>
        <v>0</v>
      </c>
      <c r="F38" t="s">
        <v>49</v>
      </c>
      <c r="G38">
        <f>'ORDER FORM'!$D$10</f>
        <v>0</v>
      </c>
      <c r="H38">
        <f>'ORDER FORM'!$D$11</f>
        <v>0</v>
      </c>
      <c r="I38" s="282">
        <f>'ORDER FORM'!$P$25</f>
        <v>0</v>
      </c>
      <c r="J38" s="282">
        <f>'ORDER FORM'!$R$25</f>
        <v>0</v>
      </c>
      <c r="P38" t="s">
        <v>480</v>
      </c>
      <c r="Q38">
        <f>'ORDER FORM'!$K$10</f>
        <v>0</v>
      </c>
      <c r="R38">
        <f>'ORDER FORM'!$K$12</f>
        <v>0</v>
      </c>
      <c r="S38">
        <f>'ORDER FORM'!$J$11</f>
        <v>0</v>
      </c>
      <c r="X38" s="95">
        <f>'Cut List'!$H$48</f>
        <v>0</v>
      </c>
      <c r="Y38" s="95">
        <f>'Cut List'!$E$48</f>
        <v>0</v>
      </c>
      <c r="Z38" s="95">
        <f>'Cut List'!$Q$48</f>
        <v>0</v>
      </c>
      <c r="AA38" s="95">
        <f>'Cut List'!$R$48</f>
        <v>0</v>
      </c>
      <c r="AC38" t="str">
        <f>'ORDER FORM'!$D$12</f>
        <v>Standard sanding</v>
      </c>
    </row>
    <row r="39" spans="1:29" x14ac:dyDescent="0.15">
      <c r="A39" s="95">
        <f>'ORDER FORM'!$O$26</f>
        <v>0</v>
      </c>
      <c r="B39" t="str">
        <f>'ORDER FORM'!$D$7</f>
        <v>Cabinetmart Inc</v>
      </c>
      <c r="C39">
        <f>'ORDER FORM'!$E$4</f>
        <v>0</v>
      </c>
      <c r="D39" s="95">
        <f>'ORDER FORM'!$O$26</f>
        <v>0</v>
      </c>
      <c r="E39">
        <f>'ORDER FORM'!$D$8</f>
        <v>0</v>
      </c>
      <c r="F39" t="s">
        <v>49</v>
      </c>
      <c r="G39">
        <f>'ORDER FORM'!$D$10</f>
        <v>0</v>
      </c>
      <c r="H39">
        <f>'ORDER FORM'!$D$11</f>
        <v>0</v>
      </c>
      <c r="I39" s="282">
        <f>'ORDER FORM'!$P$26</f>
        <v>0</v>
      </c>
      <c r="J39" s="282">
        <f>'ORDER FORM'!$R$26</f>
        <v>0</v>
      </c>
      <c r="P39" t="s">
        <v>480</v>
      </c>
      <c r="Q39">
        <f>'ORDER FORM'!$K$10</f>
        <v>0</v>
      </c>
      <c r="R39">
        <f>'ORDER FORM'!$K$12</f>
        <v>0</v>
      </c>
      <c r="S39">
        <f>'ORDER FORM'!$J$11</f>
        <v>0</v>
      </c>
      <c r="X39" s="95">
        <f>'Cut List'!$H$49</f>
        <v>0</v>
      </c>
      <c r="Y39" s="95">
        <f>'Cut List'!$E$49</f>
        <v>0</v>
      </c>
      <c r="Z39" s="95">
        <f>'Cut List'!$Q$49</f>
        <v>0</v>
      </c>
      <c r="AA39" s="95">
        <f>'Cut List'!$R$49</f>
        <v>0</v>
      </c>
      <c r="AC39" t="str">
        <f>'ORDER FORM'!$D$12</f>
        <v>Standard sanding</v>
      </c>
    </row>
    <row r="40" spans="1:29" x14ac:dyDescent="0.15">
      <c r="A40" s="95">
        <f>'ORDER FORM'!$O$27</f>
        <v>0</v>
      </c>
      <c r="B40" t="str">
        <f>'ORDER FORM'!$D$7</f>
        <v>Cabinetmart Inc</v>
      </c>
      <c r="C40">
        <f>'ORDER FORM'!$E$4</f>
        <v>0</v>
      </c>
      <c r="D40" s="95">
        <f>'ORDER FORM'!$O$27</f>
        <v>0</v>
      </c>
      <c r="E40">
        <f>'ORDER FORM'!$D$8</f>
        <v>0</v>
      </c>
      <c r="F40" t="s">
        <v>49</v>
      </c>
      <c r="G40">
        <f>'ORDER FORM'!$D$10</f>
        <v>0</v>
      </c>
      <c r="H40">
        <f>'ORDER FORM'!$D$11</f>
        <v>0</v>
      </c>
      <c r="I40" s="282">
        <f>'ORDER FORM'!$P$27</f>
        <v>0</v>
      </c>
      <c r="J40" s="282">
        <f>'ORDER FORM'!$R$27</f>
        <v>0</v>
      </c>
      <c r="P40" t="s">
        <v>480</v>
      </c>
      <c r="Q40">
        <f>'ORDER FORM'!$K$10</f>
        <v>0</v>
      </c>
      <c r="R40">
        <f>'ORDER FORM'!$K$12</f>
        <v>0</v>
      </c>
      <c r="S40">
        <f>'ORDER FORM'!$J$11</f>
        <v>0</v>
      </c>
      <c r="X40" s="95">
        <f>'Cut List'!$H$50</f>
        <v>0</v>
      </c>
      <c r="Y40" s="95">
        <f>'Cut List'!$E$50</f>
        <v>0</v>
      </c>
      <c r="Z40" s="95">
        <f>'Cut List'!$Q$50</f>
        <v>0</v>
      </c>
      <c r="AA40" s="95">
        <f>'Cut List'!$R$50</f>
        <v>0</v>
      </c>
      <c r="AC40" t="str">
        <f>'ORDER FORM'!$D$12</f>
        <v>Standard sanding</v>
      </c>
    </row>
    <row r="41" spans="1:29" x14ac:dyDescent="0.15">
      <c r="A41" s="95">
        <f>'ORDER FORM'!$O$28</f>
        <v>0</v>
      </c>
      <c r="B41" t="str">
        <f>'ORDER FORM'!$D$7</f>
        <v>Cabinetmart Inc</v>
      </c>
      <c r="C41">
        <f>'ORDER FORM'!$E$4</f>
        <v>0</v>
      </c>
      <c r="D41" s="95">
        <f>'ORDER FORM'!$O$28</f>
        <v>0</v>
      </c>
      <c r="E41">
        <f>'ORDER FORM'!$D$8</f>
        <v>0</v>
      </c>
      <c r="F41" t="s">
        <v>49</v>
      </c>
      <c r="G41">
        <f>'ORDER FORM'!$D$10</f>
        <v>0</v>
      </c>
      <c r="H41">
        <f>'ORDER FORM'!$D$11</f>
        <v>0</v>
      </c>
      <c r="I41" s="282">
        <f>'ORDER FORM'!$P$28</f>
        <v>0</v>
      </c>
      <c r="J41" s="282">
        <f>'ORDER FORM'!$R$28</f>
        <v>0</v>
      </c>
      <c r="P41" t="s">
        <v>480</v>
      </c>
      <c r="Q41">
        <f>'ORDER FORM'!$K$10</f>
        <v>0</v>
      </c>
      <c r="R41">
        <f>'ORDER FORM'!$K$12</f>
        <v>0</v>
      </c>
      <c r="S41">
        <f>'ORDER FORM'!$J$11</f>
        <v>0</v>
      </c>
      <c r="X41" s="95">
        <f>'Cut List'!$H$51</f>
        <v>0</v>
      </c>
      <c r="Y41" s="95">
        <f>'Cut List'!$E$51</f>
        <v>0</v>
      </c>
      <c r="Z41" s="95">
        <f>'Cut List'!$Q$51</f>
        <v>0</v>
      </c>
      <c r="AA41" s="95">
        <f>'Cut List'!$R$51</f>
        <v>0</v>
      </c>
      <c r="AC41" t="str">
        <f>'ORDER FORM'!$D$12</f>
        <v>Standard sanding</v>
      </c>
    </row>
    <row r="42" spans="1:29" x14ac:dyDescent="0.15">
      <c r="A42" s="95">
        <f>'ORDER FORM'!$O$33</f>
        <v>0</v>
      </c>
      <c r="B42" t="str">
        <f>'ORDER FORM'!$D$7</f>
        <v>Cabinetmart Inc</v>
      </c>
      <c r="C42">
        <f>'ORDER FORM'!$E$4</f>
        <v>0</v>
      </c>
      <c r="D42" s="95">
        <f>'ORDER FORM'!$O$33</f>
        <v>0</v>
      </c>
      <c r="E42">
        <f>'ORDER FORM'!$D$8</f>
        <v>0</v>
      </c>
      <c r="F42" t="s">
        <v>49</v>
      </c>
      <c r="G42">
        <f>'ORDER FORM'!$D$10</f>
        <v>0</v>
      </c>
      <c r="H42">
        <f>'ORDER FORM'!$D$11</f>
        <v>0</v>
      </c>
      <c r="I42" s="282">
        <f>'ORDER FORM'!$P$33</f>
        <v>0</v>
      </c>
      <c r="J42" s="282">
        <f>'ORDER FORM'!$R$33</f>
        <v>0</v>
      </c>
      <c r="P42" t="s">
        <v>603</v>
      </c>
      <c r="R42">
        <f>'ORDER FORM'!$K$12</f>
        <v>0</v>
      </c>
      <c r="Z42" s="95">
        <f>'Cut List'!$Q$53</f>
        <v>0</v>
      </c>
      <c r="AA42" s="95">
        <f>'Cut List'!$R$53</f>
        <v>0</v>
      </c>
      <c r="AC42" t="str">
        <f>'ORDER FORM'!$D$12</f>
        <v>Standard sanding</v>
      </c>
    </row>
    <row r="43" spans="1:29" x14ac:dyDescent="0.15">
      <c r="A43" s="95">
        <f>'ORDER FORM'!$O$34</f>
        <v>0</v>
      </c>
      <c r="B43" t="str">
        <f>'ORDER FORM'!$D$7</f>
        <v>Cabinetmart Inc</v>
      </c>
      <c r="C43">
        <f>'ORDER FORM'!$E$4</f>
        <v>0</v>
      </c>
      <c r="D43" s="95">
        <f>'ORDER FORM'!$O$33</f>
        <v>0</v>
      </c>
      <c r="E43">
        <f>'ORDER FORM'!$D$8</f>
        <v>0</v>
      </c>
      <c r="F43" t="s">
        <v>49</v>
      </c>
      <c r="G43">
        <f>'ORDER FORM'!$D$10</f>
        <v>0</v>
      </c>
      <c r="H43">
        <f>'ORDER FORM'!$D$11</f>
        <v>0</v>
      </c>
      <c r="I43" s="282">
        <f>'ORDER FORM'!$P$34</f>
        <v>0</v>
      </c>
      <c r="J43" s="282">
        <f>'ORDER FORM'!$R$34</f>
        <v>0</v>
      </c>
      <c r="P43" t="s">
        <v>603</v>
      </c>
      <c r="R43">
        <f>'ORDER FORM'!$K$12</f>
        <v>0</v>
      </c>
      <c r="Z43" s="95">
        <f>'Cut List'!$Q$54</f>
        <v>0</v>
      </c>
      <c r="AA43" s="95">
        <f>'Cut List'!$R$54</f>
        <v>0</v>
      </c>
      <c r="AC43" t="str">
        <f>'ORDER FORM'!$D$12</f>
        <v>Standard sanding</v>
      </c>
    </row>
    <row r="44" spans="1:29" s="1" customFormat="1" x14ac:dyDescent="0.15">
      <c r="A44" s="95">
        <f>'ORDER FORM'!$O$35</f>
        <v>0</v>
      </c>
      <c r="B44" t="str">
        <f>'ORDER FORM'!$D$7</f>
        <v>Cabinetmart Inc</v>
      </c>
      <c r="C44">
        <f>'ORDER FORM'!$E$4</f>
        <v>0</v>
      </c>
      <c r="D44" s="95">
        <f>'ORDER FORM'!$O$34</f>
        <v>0</v>
      </c>
      <c r="E44">
        <f>'ORDER FORM'!$D$8</f>
        <v>0</v>
      </c>
      <c r="F44" t="s">
        <v>49</v>
      </c>
      <c r="G44">
        <f>'ORDER FORM'!$D$10</f>
        <v>0</v>
      </c>
      <c r="H44">
        <f>'ORDER FORM'!$D$11</f>
        <v>0</v>
      </c>
      <c r="I44" s="282">
        <f>'ORDER FORM'!$P$35</f>
        <v>0</v>
      </c>
      <c r="J44" s="282">
        <f>'ORDER FORM'!$R$35</f>
        <v>0</v>
      </c>
      <c r="P44" t="s">
        <v>603</v>
      </c>
      <c r="Q44"/>
      <c r="R44">
        <f>'ORDER FORM'!$K$12</f>
        <v>0</v>
      </c>
      <c r="S44"/>
      <c r="Z44" s="95">
        <f>'Cut List'!$Q$55</f>
        <v>0</v>
      </c>
      <c r="AA44" s="95">
        <f>'Cut List'!$R$55</f>
        <v>0</v>
      </c>
      <c r="AB44"/>
      <c r="AC44" t="str">
        <f>'ORDER FORM'!$D$12</f>
        <v>Standard sanding</v>
      </c>
    </row>
    <row r="45" spans="1:29" s="1" customFormat="1" x14ac:dyDescent="0.15">
      <c r="A45" s="95">
        <f>'ORDER FORM'!$O$36</f>
        <v>0</v>
      </c>
      <c r="B45" t="str">
        <f>'ORDER FORM'!$D$7</f>
        <v>Cabinetmart Inc</v>
      </c>
      <c r="C45">
        <f>'ORDER FORM'!$E$4</f>
        <v>0</v>
      </c>
      <c r="D45" s="95">
        <f>'ORDER FORM'!$O$35</f>
        <v>0</v>
      </c>
      <c r="E45">
        <f>'ORDER FORM'!$D$8</f>
        <v>0</v>
      </c>
      <c r="F45" t="s">
        <v>49</v>
      </c>
      <c r="G45">
        <f>'ORDER FORM'!$D$10</f>
        <v>0</v>
      </c>
      <c r="H45">
        <f>'ORDER FORM'!$D$11</f>
        <v>0</v>
      </c>
      <c r="I45" s="282">
        <f>'ORDER FORM'!$P$36</f>
        <v>0</v>
      </c>
      <c r="J45" s="282">
        <f>'ORDER FORM'!$R$36</f>
        <v>0</v>
      </c>
      <c r="P45" t="s">
        <v>603</v>
      </c>
      <c r="Q45"/>
      <c r="R45">
        <f>'ORDER FORM'!$K$12</f>
        <v>0</v>
      </c>
      <c r="S45"/>
      <c r="Z45" s="95">
        <f>'Cut List'!$Q$56</f>
        <v>0</v>
      </c>
      <c r="AA45" s="95">
        <f>'Cut List'!$R$56</f>
        <v>0</v>
      </c>
      <c r="AB45"/>
      <c r="AC45" t="str">
        <f>'ORDER FORM'!$D$12</f>
        <v>Standard sanding</v>
      </c>
    </row>
    <row r="46" spans="1:29" s="1" customFormat="1" x14ac:dyDescent="0.15">
      <c r="A46" s="95">
        <f>'ORDER FORM'!$O$37</f>
        <v>0</v>
      </c>
      <c r="B46" t="str">
        <f>'ORDER FORM'!$D$7</f>
        <v>Cabinetmart Inc</v>
      </c>
      <c r="C46">
        <f>'ORDER FORM'!$E$4</f>
        <v>0</v>
      </c>
      <c r="D46" s="95">
        <f>'ORDER FORM'!$O$36</f>
        <v>0</v>
      </c>
      <c r="E46">
        <f>'ORDER FORM'!$D$8</f>
        <v>0</v>
      </c>
      <c r="F46" t="s">
        <v>49</v>
      </c>
      <c r="G46">
        <f>'ORDER FORM'!$D$10</f>
        <v>0</v>
      </c>
      <c r="H46">
        <f>'ORDER FORM'!$D$11</f>
        <v>0</v>
      </c>
      <c r="I46" s="282">
        <f>'ORDER FORM'!$P$37</f>
        <v>0</v>
      </c>
      <c r="J46" s="282">
        <f>'ORDER FORM'!$R$37</f>
        <v>0</v>
      </c>
      <c r="P46" t="s">
        <v>603</v>
      </c>
      <c r="Q46"/>
      <c r="R46">
        <f>'ORDER FORM'!$K$12</f>
        <v>0</v>
      </c>
      <c r="S46"/>
      <c r="Z46" s="95">
        <f>'Cut List'!$Q$57</f>
        <v>0</v>
      </c>
      <c r="AA46" s="95">
        <f>'Cut List'!$R$57</f>
        <v>0</v>
      </c>
      <c r="AB46"/>
      <c r="AC46" t="str">
        <f>'ORDER FORM'!$D$12</f>
        <v>Standard sanding</v>
      </c>
    </row>
    <row r="47" spans="1:29" s="1" customFormat="1" x14ac:dyDescent="0.15">
      <c r="A47" s="95">
        <f>'ORDER FORM'!$O$38</f>
        <v>0</v>
      </c>
      <c r="B47" t="str">
        <f>'ORDER FORM'!$D$7</f>
        <v>Cabinetmart Inc</v>
      </c>
      <c r="C47">
        <f>'ORDER FORM'!$E$4</f>
        <v>0</v>
      </c>
      <c r="D47" s="95">
        <f>'ORDER FORM'!$O$37</f>
        <v>0</v>
      </c>
      <c r="E47">
        <f>'ORDER FORM'!$D$8</f>
        <v>0</v>
      </c>
      <c r="F47" t="s">
        <v>49</v>
      </c>
      <c r="G47">
        <f>'ORDER FORM'!$D$10</f>
        <v>0</v>
      </c>
      <c r="H47">
        <f>'ORDER FORM'!$D$11</f>
        <v>0</v>
      </c>
      <c r="I47" s="282">
        <f>'ORDER FORM'!$P$38</f>
        <v>0</v>
      </c>
      <c r="J47" s="282">
        <f>'ORDER FORM'!$R$38</f>
        <v>0</v>
      </c>
      <c r="P47" t="s">
        <v>603</v>
      </c>
      <c r="Q47"/>
      <c r="R47">
        <f>'ORDER FORM'!$K$12</f>
        <v>0</v>
      </c>
      <c r="S47"/>
      <c r="Z47" s="95">
        <f>'Cut List'!$Q$58</f>
        <v>0</v>
      </c>
      <c r="AA47" s="95">
        <f>'Cut List'!$R$58</f>
        <v>0</v>
      </c>
      <c r="AB47"/>
      <c r="AC47" t="str">
        <f>'ORDER FORM'!$D$12</f>
        <v>Standard sanding</v>
      </c>
    </row>
    <row r="48" spans="1:29" s="1" customFormat="1" x14ac:dyDescent="0.15">
      <c r="A48" s="95">
        <f>'ORDER FORM'!$O$39</f>
        <v>0</v>
      </c>
      <c r="B48" t="str">
        <f>'ORDER FORM'!$D$7</f>
        <v>Cabinetmart Inc</v>
      </c>
      <c r="C48">
        <f>'ORDER FORM'!$E$4</f>
        <v>0</v>
      </c>
      <c r="D48" s="95">
        <f>'ORDER FORM'!$O$38</f>
        <v>0</v>
      </c>
      <c r="E48">
        <f>'ORDER FORM'!$D$8</f>
        <v>0</v>
      </c>
      <c r="F48" t="s">
        <v>49</v>
      </c>
      <c r="G48">
        <f>'ORDER FORM'!$D$10</f>
        <v>0</v>
      </c>
      <c r="H48">
        <f>'ORDER FORM'!$D$11</f>
        <v>0</v>
      </c>
      <c r="I48" s="282">
        <f>'ORDER FORM'!$P$39</f>
        <v>0</v>
      </c>
      <c r="J48" s="282">
        <f>'ORDER FORM'!$R$39</f>
        <v>0</v>
      </c>
      <c r="P48" t="s">
        <v>603</v>
      </c>
      <c r="Q48"/>
      <c r="R48">
        <f>'ORDER FORM'!$K$12</f>
        <v>0</v>
      </c>
      <c r="S48"/>
      <c r="Z48" s="95">
        <f>'Cut List'!$Q$59</f>
        <v>0</v>
      </c>
      <c r="AA48" s="95">
        <f>'Cut List'!$R$59</f>
        <v>0</v>
      </c>
      <c r="AB48"/>
      <c r="AC48" t="str">
        <f>'ORDER FORM'!$D$12</f>
        <v>Standard sanding</v>
      </c>
    </row>
    <row r="49" spans="1:29" x14ac:dyDescent="0.15">
      <c r="A49" s="95">
        <f>'ORDER FORM'!$O$40</f>
        <v>0</v>
      </c>
      <c r="B49" t="str">
        <f>'ORDER FORM'!$D$7</f>
        <v>Cabinetmart Inc</v>
      </c>
      <c r="C49">
        <f>'ORDER FORM'!$E$4</f>
        <v>0</v>
      </c>
      <c r="D49" s="95">
        <f>'ORDER FORM'!$O$39</f>
        <v>0</v>
      </c>
      <c r="E49">
        <f>'ORDER FORM'!$D$8</f>
        <v>0</v>
      </c>
      <c r="F49" t="s">
        <v>49</v>
      </c>
      <c r="G49">
        <f>'ORDER FORM'!$D$10</f>
        <v>0</v>
      </c>
      <c r="H49">
        <f>'ORDER FORM'!$D$11</f>
        <v>0</v>
      </c>
      <c r="I49" s="282">
        <f>'ORDER FORM'!$P$40</f>
        <v>0</v>
      </c>
      <c r="J49" s="282">
        <f>'ORDER FORM'!$R$40</f>
        <v>0</v>
      </c>
      <c r="P49" t="s">
        <v>603</v>
      </c>
      <c r="R49">
        <f>'ORDER FORM'!$K$12</f>
        <v>0</v>
      </c>
      <c r="Z49" s="95">
        <f>'Cut List'!$Q$60</f>
        <v>0</v>
      </c>
      <c r="AA49" s="95">
        <f>'Cut List'!$R$60</f>
        <v>0</v>
      </c>
      <c r="AC49" t="str">
        <f>'ORDER FORM'!$D$12</f>
        <v>Standard sanding</v>
      </c>
    </row>
    <row r="50" spans="1:29" x14ac:dyDescent="0.15">
      <c r="A50" s="95">
        <f>'ORDER FORM'!$O$41</f>
        <v>0</v>
      </c>
      <c r="B50" t="str">
        <f>'ORDER FORM'!$D$7</f>
        <v>Cabinetmart Inc</v>
      </c>
      <c r="C50">
        <f>'ORDER FORM'!$E$4</f>
        <v>0</v>
      </c>
      <c r="D50" s="95">
        <f>'ORDER FORM'!$O$40</f>
        <v>0</v>
      </c>
      <c r="E50">
        <f>'ORDER FORM'!$D$8</f>
        <v>0</v>
      </c>
      <c r="F50" t="s">
        <v>49</v>
      </c>
      <c r="G50">
        <f>'ORDER FORM'!$D$10</f>
        <v>0</v>
      </c>
      <c r="H50">
        <f>'ORDER FORM'!$D$11</f>
        <v>0</v>
      </c>
      <c r="I50" s="282">
        <f>'ORDER FORM'!$P$41</f>
        <v>0</v>
      </c>
      <c r="J50" s="282">
        <f>'ORDER FORM'!$R$41</f>
        <v>0</v>
      </c>
      <c r="P50" t="s">
        <v>603</v>
      </c>
      <c r="R50">
        <f>'ORDER FORM'!$K$12</f>
        <v>0</v>
      </c>
      <c r="Z50" s="95">
        <f>'Cut List'!$Q$61</f>
        <v>0</v>
      </c>
      <c r="AA50" s="95">
        <f>'Cut List'!$R$61</f>
        <v>0</v>
      </c>
      <c r="AC50" t="str">
        <f>'ORDER FORM'!$D$12</f>
        <v>Standard sanding</v>
      </c>
    </row>
    <row r="51" spans="1:29" x14ac:dyDescent="0.15">
      <c r="A51" s="95">
        <f>'ORDER FORM'!$O$42</f>
        <v>0</v>
      </c>
      <c r="B51" t="str">
        <f>'ORDER FORM'!$D$7</f>
        <v>Cabinetmart Inc</v>
      </c>
      <c r="C51">
        <f>'ORDER FORM'!$E$4</f>
        <v>0</v>
      </c>
      <c r="D51" s="95">
        <f>'ORDER FORM'!$O$41</f>
        <v>0</v>
      </c>
      <c r="E51">
        <f>'ORDER FORM'!$D$8</f>
        <v>0</v>
      </c>
      <c r="F51" t="s">
        <v>49</v>
      </c>
      <c r="G51">
        <f>'ORDER FORM'!$D$10</f>
        <v>0</v>
      </c>
      <c r="H51">
        <f>'ORDER FORM'!$D$11</f>
        <v>0</v>
      </c>
      <c r="I51" s="282">
        <f>'ORDER FORM'!$P$42</f>
        <v>0</v>
      </c>
      <c r="J51" s="282">
        <f>'ORDER FORM'!$R$42</f>
        <v>0</v>
      </c>
      <c r="P51" t="s">
        <v>603</v>
      </c>
      <c r="R51">
        <f>'ORDER FORM'!$K$12</f>
        <v>0</v>
      </c>
      <c r="Z51" s="95">
        <f>'Cut List'!$Q$62</f>
        <v>0</v>
      </c>
      <c r="AA51" s="95">
        <f>'Cut List'!$R$62</f>
        <v>0</v>
      </c>
      <c r="AC51" t="str">
        <f>'ORDER FORM'!$D$12</f>
        <v>Standard sanding</v>
      </c>
    </row>
    <row r="52" spans="1:29" x14ac:dyDescent="0.15">
      <c r="A52" s="95">
        <f>'ORDER FORM'!$D$39</f>
        <v>0</v>
      </c>
      <c r="B52" t="str">
        <f>'ORDER FORM'!$D$7</f>
        <v>Cabinetmart Inc</v>
      </c>
      <c r="C52">
        <f>'ORDER FORM'!$E$4</f>
        <v>0</v>
      </c>
      <c r="D52" s="95">
        <f>'ORDER FORM'!$D$39</f>
        <v>0</v>
      </c>
      <c r="E52">
        <f>'ORDER FORM'!$D$8</f>
        <v>0</v>
      </c>
      <c r="F52" t="s">
        <v>327</v>
      </c>
      <c r="G52">
        <f>'ORDER FORM'!$D$10</f>
        <v>0</v>
      </c>
      <c r="H52">
        <f>'ORDER FORM'!$D$11</f>
        <v>0</v>
      </c>
      <c r="I52" s="282">
        <f>'ORDER FORM'!$E$39</f>
        <v>0</v>
      </c>
      <c r="J52" s="282">
        <f>'ORDER FORM'!$F$39</f>
        <v>0</v>
      </c>
      <c r="K52">
        <f>'ORDER FORM'!$Q$10</f>
        <v>0</v>
      </c>
      <c r="N52" t="str">
        <f>IF(ISBLANK('ORDER FORM'!$B$39),"",'ORDER FORM'!$B$39)</f>
        <v/>
      </c>
      <c r="O52" t="str">
        <f>IF(ISBLANK('ORDER FORM'!$C$39),"",'ORDER FORM'!$C$39)</f>
        <v/>
      </c>
      <c r="P52" t="s">
        <v>481</v>
      </c>
      <c r="Q52">
        <f>'ORDER FORM'!$K$10</f>
        <v>0</v>
      </c>
      <c r="R52">
        <f>'ORDER FORM'!$K$12</f>
        <v>0</v>
      </c>
      <c r="S52">
        <f>'ORDER FORM'!$J$11</f>
        <v>0</v>
      </c>
      <c r="U52">
        <f>'ORDER FORM'!$G$39</f>
        <v>0</v>
      </c>
      <c r="X52" s="95">
        <f>'Cut List'!$H$75</f>
        <v>0</v>
      </c>
      <c r="Y52" s="95">
        <f>'Cut List'!$E$75</f>
        <v>0</v>
      </c>
      <c r="AC52" t="str">
        <f>'ORDER FORM'!$D$12</f>
        <v>Standard sanding</v>
      </c>
    </row>
    <row r="53" spans="1:29" x14ac:dyDescent="0.15">
      <c r="A53" s="95">
        <f>'ORDER FORM'!$D$40</f>
        <v>0</v>
      </c>
      <c r="B53" t="str">
        <f>'ORDER FORM'!$D$7</f>
        <v>Cabinetmart Inc</v>
      </c>
      <c r="C53">
        <f>'ORDER FORM'!$E$4</f>
        <v>0</v>
      </c>
      <c r="D53" s="95">
        <f>'ORDER FORM'!$D$40</f>
        <v>0</v>
      </c>
      <c r="E53">
        <f>'ORDER FORM'!$D$8</f>
        <v>0</v>
      </c>
      <c r="F53" t="s">
        <v>327</v>
      </c>
      <c r="G53">
        <f>'ORDER FORM'!$D$10</f>
        <v>0</v>
      </c>
      <c r="H53">
        <f>'ORDER FORM'!$D$11</f>
        <v>0</v>
      </c>
      <c r="I53" s="282">
        <f>'ORDER FORM'!$E$40</f>
        <v>0</v>
      </c>
      <c r="J53" s="282">
        <f>'ORDER FORM'!$F$40</f>
        <v>0</v>
      </c>
      <c r="K53">
        <f>'ORDER FORM'!$Q$10</f>
        <v>0</v>
      </c>
      <c r="N53" t="str">
        <f>IF(ISBLANK('ORDER FORM'!$B$40),"",'ORDER FORM'!$B$40)</f>
        <v/>
      </c>
      <c r="O53" t="str">
        <f>IF(ISBLANK('ORDER FORM'!$C$40),"",'ORDER FORM'!$C$40)</f>
        <v/>
      </c>
      <c r="P53" t="s">
        <v>481</v>
      </c>
      <c r="Q53">
        <f>'ORDER FORM'!$K$10</f>
        <v>0</v>
      </c>
      <c r="R53">
        <f>'ORDER FORM'!$K$12</f>
        <v>0</v>
      </c>
      <c r="S53">
        <f>'ORDER FORM'!$J$11</f>
        <v>0</v>
      </c>
      <c r="U53">
        <f>'ORDER FORM'!$G$40</f>
        <v>0</v>
      </c>
      <c r="X53" s="95">
        <f>'Cut List'!$H$76</f>
        <v>0</v>
      </c>
      <c r="Y53" s="95">
        <f>'Cut List'!$E$76</f>
        <v>0</v>
      </c>
      <c r="AC53" t="str">
        <f>'ORDER FORM'!$D$12</f>
        <v>Standard sanding</v>
      </c>
    </row>
    <row r="54" spans="1:29" x14ac:dyDescent="0.15">
      <c r="A54" s="95">
        <f>'ORDER FORM'!$D$41</f>
        <v>0</v>
      </c>
      <c r="B54" t="str">
        <f>'ORDER FORM'!$D$7</f>
        <v>Cabinetmart Inc</v>
      </c>
      <c r="C54">
        <f>'ORDER FORM'!$E$4</f>
        <v>0</v>
      </c>
      <c r="D54" s="95">
        <f>'ORDER FORM'!$D$41</f>
        <v>0</v>
      </c>
      <c r="E54">
        <f>'ORDER FORM'!$D$8</f>
        <v>0</v>
      </c>
      <c r="F54" t="s">
        <v>327</v>
      </c>
      <c r="G54">
        <f>'ORDER FORM'!$D$10</f>
        <v>0</v>
      </c>
      <c r="H54">
        <f>'ORDER FORM'!$D$11</f>
        <v>0</v>
      </c>
      <c r="I54" s="282">
        <f>'ORDER FORM'!$E$41</f>
        <v>0</v>
      </c>
      <c r="J54" s="282">
        <f>'ORDER FORM'!$F$41</f>
        <v>0</v>
      </c>
      <c r="K54">
        <f>'ORDER FORM'!$Q$10</f>
        <v>0</v>
      </c>
      <c r="N54" t="str">
        <f>IF(ISBLANK('ORDER FORM'!$B$41),"",'ORDER FORM'!$B$41)</f>
        <v/>
      </c>
      <c r="O54" t="str">
        <f>IF(ISBLANK('ORDER FORM'!$C$41),"",'ORDER FORM'!$C$41)</f>
        <v/>
      </c>
      <c r="P54" t="s">
        <v>481</v>
      </c>
      <c r="Q54">
        <f>'ORDER FORM'!$K$10</f>
        <v>0</v>
      </c>
      <c r="R54">
        <f>'ORDER FORM'!$K$12</f>
        <v>0</v>
      </c>
      <c r="S54">
        <f>'ORDER FORM'!$J$11</f>
        <v>0</v>
      </c>
      <c r="U54">
        <f>'ORDER FORM'!$G$41</f>
        <v>0</v>
      </c>
      <c r="X54" s="95">
        <f>'Cut List'!$H$77</f>
        <v>0</v>
      </c>
      <c r="Y54" s="95">
        <f>'Cut List'!$E$77</f>
        <v>0</v>
      </c>
      <c r="AC54" t="str">
        <f>'ORDER FORM'!$D$12</f>
        <v>Standard sanding</v>
      </c>
    </row>
    <row r="55" spans="1:29" x14ac:dyDescent="0.15">
      <c r="A55" s="95">
        <f>'ORDER FORM'!$D$42</f>
        <v>0</v>
      </c>
      <c r="B55" t="str">
        <f>'ORDER FORM'!$D$7</f>
        <v>Cabinetmart Inc</v>
      </c>
      <c r="C55">
        <f>'ORDER FORM'!$E$4</f>
        <v>0</v>
      </c>
      <c r="D55" s="95">
        <f>'ORDER FORM'!$D$42</f>
        <v>0</v>
      </c>
      <c r="E55">
        <f>'ORDER FORM'!$D$8</f>
        <v>0</v>
      </c>
      <c r="F55" t="s">
        <v>327</v>
      </c>
      <c r="G55">
        <f>'ORDER FORM'!$D$10</f>
        <v>0</v>
      </c>
      <c r="H55">
        <f>'ORDER FORM'!$D$11</f>
        <v>0</v>
      </c>
      <c r="I55" s="282">
        <f>'ORDER FORM'!$E$42</f>
        <v>0</v>
      </c>
      <c r="J55" s="282">
        <f>'ORDER FORM'!$F$42</f>
        <v>0</v>
      </c>
      <c r="K55">
        <f>'ORDER FORM'!$Q$10</f>
        <v>0</v>
      </c>
      <c r="N55" t="str">
        <f>IF(ISBLANK('ORDER FORM'!$B$42),"",'ORDER FORM'!$B$42)</f>
        <v/>
      </c>
      <c r="O55" t="str">
        <f>IF(ISBLANK('ORDER FORM'!$C$42),"",'ORDER FORM'!$C$42)</f>
        <v/>
      </c>
      <c r="P55" t="s">
        <v>481</v>
      </c>
      <c r="Q55">
        <f>'ORDER FORM'!$K$10</f>
        <v>0</v>
      </c>
      <c r="R55">
        <f>'ORDER FORM'!$K$12</f>
        <v>0</v>
      </c>
      <c r="S55">
        <f>'ORDER FORM'!$J$11</f>
        <v>0</v>
      </c>
      <c r="U55">
        <f>'ORDER FORM'!$G$42</f>
        <v>0</v>
      </c>
      <c r="X55" s="95">
        <f>'Cut List'!$H$78</f>
        <v>0</v>
      </c>
      <c r="Y55" s="95">
        <f>'Cut List'!$E$78</f>
        <v>0</v>
      </c>
      <c r="AC55" t="str">
        <f>'ORDER FORM'!$D$12</f>
        <v>Standard sanding</v>
      </c>
    </row>
    <row r="56" spans="1:29" x14ac:dyDescent="0.15">
      <c r="A56" s="95">
        <f>'ORDER FORM'!$D$43</f>
        <v>0</v>
      </c>
      <c r="B56" t="str">
        <f>'ORDER FORM'!$D$7</f>
        <v>Cabinetmart Inc</v>
      </c>
      <c r="C56">
        <f>'ORDER FORM'!$E$4</f>
        <v>0</v>
      </c>
      <c r="D56" s="95">
        <f>'ORDER FORM'!$D$43</f>
        <v>0</v>
      </c>
      <c r="E56">
        <f>'ORDER FORM'!$D$8</f>
        <v>0</v>
      </c>
      <c r="F56" t="s">
        <v>327</v>
      </c>
      <c r="G56">
        <f>'ORDER FORM'!$D$10</f>
        <v>0</v>
      </c>
      <c r="H56">
        <f>'ORDER FORM'!$D$11</f>
        <v>0</v>
      </c>
      <c r="I56" s="282">
        <f>'ORDER FORM'!$E$43</f>
        <v>0</v>
      </c>
      <c r="J56" s="282">
        <f>'ORDER FORM'!$F$43</f>
        <v>0</v>
      </c>
      <c r="K56">
        <f>'ORDER FORM'!$Q$10</f>
        <v>0</v>
      </c>
      <c r="N56" t="str">
        <f>IF(ISBLANK('ORDER FORM'!$B$43),"",'ORDER FORM'!$B$43)</f>
        <v/>
      </c>
      <c r="O56" t="str">
        <f>IF(ISBLANK('ORDER FORM'!$C$43),"",'ORDER FORM'!$C$43)</f>
        <v/>
      </c>
      <c r="P56" t="s">
        <v>481</v>
      </c>
      <c r="Q56">
        <f>'ORDER FORM'!$K$10</f>
        <v>0</v>
      </c>
      <c r="R56">
        <f>'ORDER FORM'!$K$12</f>
        <v>0</v>
      </c>
      <c r="S56">
        <f>'ORDER FORM'!$J$11</f>
        <v>0</v>
      </c>
      <c r="U56">
        <f>'ORDER FORM'!$G$43</f>
        <v>0</v>
      </c>
      <c r="X56" s="95">
        <f>'Cut List'!$H$79</f>
        <v>0</v>
      </c>
      <c r="Y56" s="95">
        <f>'Cut List'!$E$79</f>
        <v>0</v>
      </c>
      <c r="AC56" t="str">
        <f>'ORDER FORM'!$D$12</f>
        <v>Standard sanding</v>
      </c>
    </row>
    <row r="57" spans="1:29" x14ac:dyDescent="0.15">
      <c r="A57" s="95">
        <f>'ORDER FORM'!$D$44</f>
        <v>0</v>
      </c>
      <c r="B57" t="str">
        <f>'ORDER FORM'!$D$7</f>
        <v>Cabinetmart Inc</v>
      </c>
      <c r="C57">
        <f>'ORDER FORM'!$E$4</f>
        <v>0</v>
      </c>
      <c r="D57" s="95">
        <f>'ORDER FORM'!$D$44</f>
        <v>0</v>
      </c>
      <c r="E57">
        <f>'ORDER FORM'!$D$8</f>
        <v>0</v>
      </c>
      <c r="F57" t="s">
        <v>327</v>
      </c>
      <c r="G57">
        <f>'ORDER FORM'!$D$10</f>
        <v>0</v>
      </c>
      <c r="H57">
        <f>'ORDER FORM'!$D$11</f>
        <v>0</v>
      </c>
      <c r="I57" s="282">
        <f>'ORDER FORM'!$E$44</f>
        <v>0</v>
      </c>
      <c r="J57" s="282">
        <f>'ORDER FORM'!$F$44</f>
        <v>0</v>
      </c>
      <c r="K57">
        <f>'ORDER FORM'!$Q$10</f>
        <v>0</v>
      </c>
      <c r="N57" t="str">
        <f>IF(ISBLANK('ORDER FORM'!$B$44),"",'ORDER FORM'!$B$44)</f>
        <v/>
      </c>
      <c r="O57" t="str">
        <f>IF(ISBLANK('ORDER FORM'!$C$44),"",'ORDER FORM'!$C$44)</f>
        <v/>
      </c>
      <c r="P57" t="s">
        <v>481</v>
      </c>
      <c r="Q57">
        <f>'ORDER FORM'!$K$10</f>
        <v>0</v>
      </c>
      <c r="R57">
        <f>'ORDER FORM'!$K$12</f>
        <v>0</v>
      </c>
      <c r="S57">
        <f>'ORDER FORM'!$J$11</f>
        <v>0</v>
      </c>
      <c r="U57">
        <f>'ORDER FORM'!$G$44</f>
        <v>0</v>
      </c>
      <c r="X57" s="95">
        <f>'Cut List'!$H$80</f>
        <v>0</v>
      </c>
      <c r="Y57" s="95">
        <f>'Cut List'!$E$80</f>
        <v>0</v>
      </c>
      <c r="AC57" t="str">
        <f>'ORDER FORM'!$D$12</f>
        <v>Standard sanding</v>
      </c>
    </row>
    <row r="58" spans="1:29" x14ac:dyDescent="0.15">
      <c r="A58" s="95">
        <f>'ORDER FORM'!$O$47</f>
        <v>0</v>
      </c>
      <c r="B58" t="str">
        <f>'ORDER FORM'!$D$7</f>
        <v>Cabinetmart Inc</v>
      </c>
      <c r="C58">
        <f>'ORDER FORM'!$E$4</f>
        <v>0</v>
      </c>
      <c r="D58" s="95">
        <f>'ORDER FORM'!$O$47</f>
        <v>0</v>
      </c>
      <c r="E58">
        <f>'ORDER FORM'!$D$8</f>
        <v>0</v>
      </c>
      <c r="F58" t="s">
        <v>50</v>
      </c>
      <c r="G58">
        <f>'ORDER FORM'!$D$10</f>
        <v>0</v>
      </c>
      <c r="H58">
        <f>'ORDER FORM'!$D$11</f>
        <v>0</v>
      </c>
      <c r="I58" s="282">
        <f>'ORDER FORM'!$P$47</f>
        <v>0</v>
      </c>
      <c r="J58" s="282">
        <f>'ORDER FORM'!$R$47</f>
        <v>0</v>
      </c>
      <c r="P58" t="s">
        <v>604</v>
      </c>
      <c r="Q58">
        <f>'ORDER FORM'!$K$10</f>
        <v>0</v>
      </c>
      <c r="R58">
        <f>'ORDER FORM'!$K$12</f>
        <v>0</v>
      </c>
      <c r="S58">
        <f>'ORDER FORM'!$J$11</f>
        <v>0</v>
      </c>
      <c r="X58" s="95">
        <f>'Cut List'!$H$64</f>
        <v>0</v>
      </c>
      <c r="Y58" s="95">
        <f>'Cut List'!$E$64</f>
        <v>0</v>
      </c>
      <c r="Z58" s="95">
        <f>'Cut List'!$Q$64</f>
        <v>0</v>
      </c>
      <c r="AA58" s="95">
        <f>'Cut List'!$R$64</f>
        <v>0</v>
      </c>
      <c r="AC58" t="str">
        <f>'ORDER FORM'!$D$12</f>
        <v>Standard sanding</v>
      </c>
    </row>
    <row r="59" spans="1:29" x14ac:dyDescent="0.15">
      <c r="A59" s="95">
        <f>'ORDER FORM'!$O$48</f>
        <v>0</v>
      </c>
      <c r="B59" t="str">
        <f>'ORDER FORM'!$D$7</f>
        <v>Cabinetmart Inc</v>
      </c>
      <c r="C59">
        <f>'ORDER FORM'!$E$4</f>
        <v>0</v>
      </c>
      <c r="D59" s="95">
        <f>'ORDER FORM'!$O$48</f>
        <v>0</v>
      </c>
      <c r="E59">
        <f>'ORDER FORM'!$D$8</f>
        <v>0</v>
      </c>
      <c r="F59" t="s">
        <v>50</v>
      </c>
      <c r="G59">
        <f>'ORDER FORM'!$D$10</f>
        <v>0</v>
      </c>
      <c r="H59">
        <f>'ORDER FORM'!$D$11</f>
        <v>0</v>
      </c>
      <c r="I59" s="282">
        <f>'ORDER FORM'!$P$48</f>
        <v>0</v>
      </c>
      <c r="J59" s="282">
        <f>'ORDER FORM'!$R$48</f>
        <v>0</v>
      </c>
      <c r="P59" t="s">
        <v>604</v>
      </c>
      <c r="Q59">
        <f>'ORDER FORM'!$K$10</f>
        <v>0</v>
      </c>
      <c r="R59">
        <f>'ORDER FORM'!$K$12</f>
        <v>0</v>
      </c>
      <c r="S59">
        <f>'ORDER FORM'!$J$11</f>
        <v>0</v>
      </c>
      <c r="X59" s="95">
        <f>'Cut List'!$H$65</f>
        <v>0</v>
      </c>
      <c r="Y59" s="95">
        <f>'Cut List'!$E$65</f>
        <v>0</v>
      </c>
      <c r="Z59" s="95">
        <f>'Cut List'!$Q$65</f>
        <v>0</v>
      </c>
      <c r="AA59" s="95">
        <f>'Cut List'!$R$65</f>
        <v>0</v>
      </c>
      <c r="AC59" t="str">
        <f>'ORDER FORM'!$D$12</f>
        <v>Standard sanding</v>
      </c>
    </row>
    <row r="60" spans="1:29" x14ac:dyDescent="0.15">
      <c r="A60" s="95">
        <f>'ORDER FORM'!$O$49</f>
        <v>0</v>
      </c>
      <c r="B60" t="str">
        <f>'ORDER FORM'!$D$7</f>
        <v>Cabinetmart Inc</v>
      </c>
      <c r="C60">
        <f>'ORDER FORM'!$E$4</f>
        <v>0</v>
      </c>
      <c r="D60" s="95">
        <f>'ORDER FORM'!$O$49</f>
        <v>0</v>
      </c>
      <c r="E60">
        <f>'ORDER FORM'!$D$8</f>
        <v>0</v>
      </c>
      <c r="F60" t="s">
        <v>50</v>
      </c>
      <c r="G60">
        <f>'ORDER FORM'!$D$10</f>
        <v>0</v>
      </c>
      <c r="H60">
        <f>'ORDER FORM'!$D$11</f>
        <v>0</v>
      </c>
      <c r="I60" s="282">
        <f>'ORDER FORM'!$P$49</f>
        <v>0</v>
      </c>
      <c r="J60" s="282">
        <f>'ORDER FORM'!$R$49</f>
        <v>0</v>
      </c>
      <c r="P60" t="s">
        <v>604</v>
      </c>
      <c r="Q60">
        <f>'ORDER FORM'!$K$10</f>
        <v>0</v>
      </c>
      <c r="R60">
        <f>'ORDER FORM'!$K$12</f>
        <v>0</v>
      </c>
      <c r="S60">
        <f>'ORDER FORM'!$J$11</f>
        <v>0</v>
      </c>
      <c r="X60" s="95">
        <f>'Cut List'!$H$66</f>
        <v>0</v>
      </c>
      <c r="Y60" s="95">
        <f>'Cut List'!$E$66</f>
        <v>0</v>
      </c>
      <c r="Z60" s="95">
        <f>'Cut List'!$Q$66</f>
        <v>0</v>
      </c>
      <c r="AA60" s="95">
        <f>'Cut List'!$R$66</f>
        <v>0</v>
      </c>
      <c r="AC60" t="str">
        <f>'ORDER FORM'!$D$12</f>
        <v>Standard sanding</v>
      </c>
    </row>
    <row r="61" spans="1:29" x14ac:dyDescent="0.15">
      <c r="A61" s="95">
        <f>'ORDER FORM'!$O$50</f>
        <v>0</v>
      </c>
      <c r="B61" t="str">
        <f>'ORDER FORM'!$D$7</f>
        <v>Cabinetmart Inc</v>
      </c>
      <c r="C61">
        <f>'ORDER FORM'!$E$4</f>
        <v>0</v>
      </c>
      <c r="D61" s="95">
        <f>'ORDER FORM'!$O$50</f>
        <v>0</v>
      </c>
      <c r="E61">
        <f>'ORDER FORM'!$D$8</f>
        <v>0</v>
      </c>
      <c r="F61" t="s">
        <v>50</v>
      </c>
      <c r="G61">
        <f>'ORDER FORM'!$D$10</f>
        <v>0</v>
      </c>
      <c r="H61">
        <f>'ORDER FORM'!$D$11</f>
        <v>0</v>
      </c>
      <c r="I61" s="282">
        <f>'ORDER FORM'!$P$50</f>
        <v>0</v>
      </c>
      <c r="J61" s="282">
        <f>'ORDER FORM'!$R$50</f>
        <v>0</v>
      </c>
      <c r="P61" t="s">
        <v>604</v>
      </c>
      <c r="Q61">
        <f>'ORDER FORM'!$K$10</f>
        <v>0</v>
      </c>
      <c r="R61">
        <f>'ORDER FORM'!$K$12</f>
        <v>0</v>
      </c>
      <c r="S61">
        <f>'ORDER FORM'!$J$11</f>
        <v>0</v>
      </c>
      <c r="X61" s="95">
        <f>'Cut List'!$H$67</f>
        <v>0</v>
      </c>
      <c r="Y61" s="95">
        <f>'Cut List'!$E$67</f>
        <v>0</v>
      </c>
      <c r="Z61" s="95">
        <f>'Cut List'!$Q$67</f>
        <v>0</v>
      </c>
      <c r="AA61" s="95">
        <f>'Cut List'!$R$67</f>
        <v>0</v>
      </c>
      <c r="AC61" t="str">
        <f>'ORDER FORM'!$D$12</f>
        <v>Standard sanding</v>
      </c>
    </row>
    <row r="62" spans="1:29" x14ac:dyDescent="0.15">
      <c r="A62" s="95">
        <f>'ORDER FORM'!$O$51</f>
        <v>0</v>
      </c>
      <c r="B62" t="str">
        <f>'ORDER FORM'!$D$7</f>
        <v>Cabinetmart Inc</v>
      </c>
      <c r="C62">
        <f>'ORDER FORM'!$E$4</f>
        <v>0</v>
      </c>
      <c r="D62" s="95">
        <f>'ORDER FORM'!$O$51</f>
        <v>0</v>
      </c>
      <c r="E62">
        <f>'ORDER FORM'!$D$8</f>
        <v>0</v>
      </c>
      <c r="F62" t="s">
        <v>50</v>
      </c>
      <c r="G62">
        <f>'ORDER FORM'!$D$10</f>
        <v>0</v>
      </c>
      <c r="H62">
        <f>'ORDER FORM'!$D$11</f>
        <v>0</v>
      </c>
      <c r="I62" s="282">
        <f>'ORDER FORM'!$P$51</f>
        <v>0</v>
      </c>
      <c r="J62" s="282">
        <f>'ORDER FORM'!$R$51</f>
        <v>0</v>
      </c>
      <c r="P62" t="s">
        <v>604</v>
      </c>
      <c r="Q62">
        <f>'ORDER FORM'!$K$10</f>
        <v>0</v>
      </c>
      <c r="R62">
        <f>'ORDER FORM'!$K$12</f>
        <v>0</v>
      </c>
      <c r="S62">
        <f>'ORDER FORM'!$J$11</f>
        <v>0</v>
      </c>
      <c r="X62" s="95">
        <f>'Cut List'!$H$68</f>
        <v>0</v>
      </c>
      <c r="Y62" s="95">
        <f>'Cut List'!$E$68</f>
        <v>0</v>
      </c>
      <c r="Z62" s="95">
        <f>'Cut List'!$Q$68</f>
        <v>0</v>
      </c>
      <c r="AA62" s="95">
        <f>'Cut List'!$R$68</f>
        <v>0</v>
      </c>
      <c r="AC62" t="str">
        <f>'ORDER FORM'!$D$12</f>
        <v>Standard sanding</v>
      </c>
    </row>
    <row r="63" spans="1:29" x14ac:dyDescent="0.15">
      <c r="A63" s="95">
        <f>'ORDER FORM'!$O$52</f>
        <v>0</v>
      </c>
      <c r="B63" t="str">
        <f>'ORDER FORM'!$D$7</f>
        <v>Cabinetmart Inc</v>
      </c>
      <c r="C63">
        <f>'ORDER FORM'!$E$4</f>
        <v>0</v>
      </c>
      <c r="D63" s="95">
        <f>'ORDER FORM'!$O$52</f>
        <v>0</v>
      </c>
      <c r="E63">
        <f>'ORDER FORM'!$D$8</f>
        <v>0</v>
      </c>
      <c r="F63" t="s">
        <v>50</v>
      </c>
      <c r="G63">
        <f>'ORDER FORM'!$D$10</f>
        <v>0</v>
      </c>
      <c r="H63">
        <f>'ORDER FORM'!$D$11</f>
        <v>0</v>
      </c>
      <c r="I63" s="282">
        <f>'ORDER FORM'!$P$52</f>
        <v>0</v>
      </c>
      <c r="J63" s="282">
        <f>'ORDER FORM'!$R$52</f>
        <v>0</v>
      </c>
      <c r="P63" t="s">
        <v>604</v>
      </c>
      <c r="Q63">
        <f>'ORDER FORM'!$K$10</f>
        <v>0</v>
      </c>
      <c r="R63">
        <f>'ORDER FORM'!$K$12</f>
        <v>0</v>
      </c>
      <c r="S63">
        <f>'ORDER FORM'!$J$11</f>
        <v>0</v>
      </c>
      <c r="X63" s="95">
        <f>'Cut List'!$H$69</f>
        <v>0</v>
      </c>
      <c r="Y63" s="95">
        <f>'Cut List'!$E$69</f>
        <v>0</v>
      </c>
      <c r="Z63" s="95">
        <f>'Cut List'!$Q$69</f>
        <v>0</v>
      </c>
      <c r="AA63" s="95">
        <f>'Cut List'!$R$69</f>
        <v>0</v>
      </c>
      <c r="AC63" t="str">
        <f>'ORDER FORM'!$D$12</f>
        <v>Standard sanding</v>
      </c>
    </row>
    <row r="64" spans="1:29" x14ac:dyDescent="0.15">
      <c r="A64" s="95">
        <f>'ORDER FORM'!$O$53</f>
        <v>0</v>
      </c>
      <c r="B64" t="str">
        <f>'ORDER FORM'!$D$7</f>
        <v>Cabinetmart Inc</v>
      </c>
      <c r="C64">
        <f>'ORDER FORM'!$E$4</f>
        <v>0</v>
      </c>
      <c r="D64" s="95">
        <f>'ORDER FORM'!$O$53</f>
        <v>0</v>
      </c>
      <c r="E64">
        <f>'ORDER FORM'!$D$8</f>
        <v>0</v>
      </c>
      <c r="F64" t="s">
        <v>50</v>
      </c>
      <c r="G64">
        <f>'ORDER FORM'!$D$10</f>
        <v>0</v>
      </c>
      <c r="H64">
        <f>'ORDER FORM'!$D$11</f>
        <v>0</v>
      </c>
      <c r="I64" s="282">
        <f>'ORDER FORM'!$P$53</f>
        <v>0</v>
      </c>
      <c r="J64" s="282">
        <f>'ORDER FORM'!$R$53</f>
        <v>0</v>
      </c>
      <c r="P64" t="s">
        <v>604</v>
      </c>
      <c r="Q64">
        <f>'ORDER FORM'!$K$10</f>
        <v>0</v>
      </c>
      <c r="R64">
        <f>'ORDER FORM'!$K$12</f>
        <v>0</v>
      </c>
      <c r="S64">
        <f>'ORDER FORM'!$J$11</f>
        <v>0</v>
      </c>
      <c r="X64" s="95">
        <f>'Cut List'!$H$70</f>
        <v>0</v>
      </c>
      <c r="Y64" s="95">
        <f>'Cut List'!$E$70</f>
        <v>0</v>
      </c>
      <c r="Z64" s="95">
        <f>'Cut List'!$Q$70</f>
        <v>0</v>
      </c>
      <c r="AA64" s="95">
        <f>'Cut List'!$R$70</f>
        <v>0</v>
      </c>
      <c r="AC64" t="str">
        <f>'ORDER FORM'!$D$12</f>
        <v>Standard sanding</v>
      </c>
    </row>
    <row r="65" spans="1:29" x14ac:dyDescent="0.15">
      <c r="A65" s="95">
        <f>'ORDER FORM'!$O$54</f>
        <v>0</v>
      </c>
      <c r="B65" t="str">
        <f>'ORDER FORM'!$D$7</f>
        <v>Cabinetmart Inc</v>
      </c>
      <c r="C65">
        <f>'ORDER FORM'!$E$4</f>
        <v>0</v>
      </c>
      <c r="D65" s="95">
        <f>'ORDER FORM'!$O$54</f>
        <v>0</v>
      </c>
      <c r="E65">
        <f>'ORDER FORM'!$D$8</f>
        <v>0</v>
      </c>
      <c r="F65" t="s">
        <v>50</v>
      </c>
      <c r="G65">
        <f>'ORDER FORM'!$D$10</f>
        <v>0</v>
      </c>
      <c r="H65">
        <f>'ORDER FORM'!$D$11</f>
        <v>0</v>
      </c>
      <c r="I65" s="282">
        <f>'ORDER FORM'!$P$54</f>
        <v>0</v>
      </c>
      <c r="J65" s="282">
        <f>'ORDER FORM'!$R$54</f>
        <v>0</v>
      </c>
      <c r="P65" t="s">
        <v>604</v>
      </c>
      <c r="Q65">
        <f>'ORDER FORM'!$K$10</f>
        <v>0</v>
      </c>
      <c r="R65">
        <f>'ORDER FORM'!$K$12</f>
        <v>0</v>
      </c>
      <c r="S65">
        <f>'ORDER FORM'!$J$11</f>
        <v>0</v>
      </c>
      <c r="X65" s="95">
        <f>'Cut List'!$H$71</f>
        <v>0</v>
      </c>
      <c r="Y65" s="95">
        <f>'Cut List'!$E$71</f>
        <v>0</v>
      </c>
      <c r="Z65" s="95">
        <f>'Cut List'!$Q$71</f>
        <v>0</v>
      </c>
      <c r="AA65" s="95">
        <f>'Cut List'!$R$71</f>
        <v>0</v>
      </c>
      <c r="AC65" t="str">
        <f>'ORDER FORM'!$D$12</f>
        <v>Standard sanding</v>
      </c>
    </row>
    <row r="66" spans="1:29" x14ac:dyDescent="0.15">
      <c r="A66" s="95">
        <f>'ORDER FORM'!$O$55</f>
        <v>0</v>
      </c>
      <c r="B66" t="str">
        <f>'ORDER FORM'!$D$7</f>
        <v>Cabinetmart Inc</v>
      </c>
      <c r="C66">
        <f>'ORDER FORM'!$E$4</f>
        <v>0</v>
      </c>
      <c r="D66" s="95">
        <f>'ORDER FORM'!$O$55</f>
        <v>0</v>
      </c>
      <c r="E66">
        <f>'ORDER FORM'!$D$8</f>
        <v>0</v>
      </c>
      <c r="F66" t="s">
        <v>50</v>
      </c>
      <c r="G66">
        <f>'ORDER FORM'!$D$10</f>
        <v>0</v>
      </c>
      <c r="H66">
        <f>'ORDER FORM'!$D$11</f>
        <v>0</v>
      </c>
      <c r="I66" s="282">
        <f>'ORDER FORM'!$P$55</f>
        <v>0</v>
      </c>
      <c r="J66" s="282">
        <f>'ORDER FORM'!$R$55</f>
        <v>0</v>
      </c>
      <c r="P66" t="s">
        <v>604</v>
      </c>
      <c r="Q66">
        <f>'ORDER FORM'!$K$10</f>
        <v>0</v>
      </c>
      <c r="R66">
        <f>'ORDER FORM'!$K$12</f>
        <v>0</v>
      </c>
      <c r="S66">
        <f>'ORDER FORM'!$J$11</f>
        <v>0</v>
      </c>
      <c r="X66" s="95">
        <f>'Cut List'!$H$72</f>
        <v>0</v>
      </c>
      <c r="Y66" s="95">
        <f>'Cut List'!$E$72</f>
        <v>0</v>
      </c>
      <c r="Z66" s="95">
        <f>'Cut List'!$Q$72</f>
        <v>0</v>
      </c>
      <c r="AA66" s="95">
        <f>'Cut List'!$R$72</f>
        <v>0</v>
      </c>
      <c r="AC66" t="str">
        <f>'ORDER FORM'!$D$12</f>
        <v>Standard sanding</v>
      </c>
    </row>
    <row r="67" spans="1:29" x14ac:dyDescent="0.15">
      <c r="A67" s="95">
        <f>'ORDER FORM'!$O$56</f>
        <v>0</v>
      </c>
      <c r="B67" t="str">
        <f>'ORDER FORM'!$D$7</f>
        <v>Cabinetmart Inc</v>
      </c>
      <c r="C67">
        <f>'ORDER FORM'!$E$4</f>
        <v>0</v>
      </c>
      <c r="D67" s="95">
        <f>'ORDER FORM'!$O$56</f>
        <v>0</v>
      </c>
      <c r="E67">
        <f>'ORDER FORM'!$D$8</f>
        <v>0</v>
      </c>
      <c r="F67" t="s">
        <v>50</v>
      </c>
      <c r="G67">
        <f>'ORDER FORM'!$D$10</f>
        <v>0</v>
      </c>
      <c r="H67">
        <f>'ORDER FORM'!$D$11</f>
        <v>0</v>
      </c>
      <c r="I67" s="282">
        <f>'ORDER FORM'!$P$56</f>
        <v>0</v>
      </c>
      <c r="J67" s="282">
        <f>'ORDER FORM'!$R$56</f>
        <v>0</v>
      </c>
      <c r="P67" t="s">
        <v>604</v>
      </c>
      <c r="Q67">
        <f>'ORDER FORM'!$K$10</f>
        <v>0</v>
      </c>
      <c r="R67">
        <f>'ORDER FORM'!$K$12</f>
        <v>0</v>
      </c>
      <c r="S67">
        <f>'ORDER FORM'!$J$11</f>
        <v>0</v>
      </c>
      <c r="X67" s="95">
        <f>'Cut List'!$H$73</f>
        <v>0</v>
      </c>
      <c r="Y67" s="95">
        <f>'Cut List'!$E$73</f>
        <v>0</v>
      </c>
      <c r="Z67" s="95">
        <f>'Cut List'!$Q$73</f>
        <v>0</v>
      </c>
      <c r="AA67" s="95">
        <f>'Cut List'!$R$73</f>
        <v>0</v>
      </c>
      <c r="AC67" t="str">
        <f>'ORDER FORM'!$D$12</f>
        <v>Standard sanding</v>
      </c>
    </row>
    <row r="68" spans="1:29" x14ac:dyDescent="0.15">
      <c r="A68" s="95">
        <f>'ORDER FORM'!$H$48</f>
        <v>0</v>
      </c>
      <c r="B68" t="str">
        <f>'ORDER FORM'!$D$7</f>
        <v>Cabinetmart Inc</v>
      </c>
      <c r="C68">
        <f>'ORDER FORM'!$E$4</f>
        <v>0</v>
      </c>
      <c r="D68" s="95">
        <f>'ORDER FORM'!$H$48</f>
        <v>0</v>
      </c>
      <c r="E68">
        <f>'ORDER FORM'!$D$8</f>
        <v>0</v>
      </c>
      <c r="F68" t="s">
        <v>51</v>
      </c>
      <c r="G68">
        <f>'ORDER FORM'!$L$48</f>
        <v>0</v>
      </c>
      <c r="H68">
        <f>'ORDER FORM'!$D$11</f>
        <v>0</v>
      </c>
      <c r="I68" s="282">
        <f>'ORDER FORM'!$I$48</f>
        <v>0</v>
      </c>
      <c r="J68" s="282">
        <f>'ORDER FORM'!$K$48</f>
        <v>0</v>
      </c>
      <c r="P68" t="s">
        <v>563</v>
      </c>
      <c r="R68">
        <f>'ORDER FORM'!$K$12</f>
        <v>0</v>
      </c>
      <c r="AC68" t="str">
        <f>'ORDER FORM'!$D$12</f>
        <v>Standard sanding</v>
      </c>
    </row>
    <row r="69" spans="1:29" x14ac:dyDescent="0.15">
      <c r="A69" s="95">
        <f>'ORDER FORM'!$H$49</f>
        <v>0</v>
      </c>
      <c r="B69" t="str">
        <f>'ORDER FORM'!$D$7</f>
        <v>Cabinetmart Inc</v>
      </c>
      <c r="C69">
        <f>'ORDER FORM'!$E$4</f>
        <v>0</v>
      </c>
      <c r="D69" s="95">
        <f>'ORDER FORM'!$H$49</f>
        <v>0</v>
      </c>
      <c r="E69">
        <f>'ORDER FORM'!$D$8</f>
        <v>0</v>
      </c>
      <c r="F69" t="s">
        <v>51</v>
      </c>
      <c r="G69">
        <f>'ORDER FORM'!$L$49</f>
        <v>0</v>
      </c>
      <c r="H69">
        <f>'ORDER FORM'!$D$11</f>
        <v>0</v>
      </c>
      <c r="I69" s="282">
        <f>'ORDER FORM'!$I$49</f>
        <v>0</v>
      </c>
      <c r="J69" s="282">
        <f>'ORDER FORM'!$K$49</f>
        <v>0</v>
      </c>
      <c r="P69" t="s">
        <v>563</v>
      </c>
      <c r="R69">
        <f>'ORDER FORM'!$K$12</f>
        <v>0</v>
      </c>
      <c r="AC69" t="str">
        <f>'ORDER FORM'!$D$12</f>
        <v>Standard sanding</v>
      </c>
    </row>
    <row r="70" spans="1:29" x14ac:dyDescent="0.15">
      <c r="A70" s="95">
        <f>'ORDER FORM'!$H$50</f>
        <v>0</v>
      </c>
      <c r="B70" t="str">
        <f>'ORDER FORM'!$D$7</f>
        <v>Cabinetmart Inc</v>
      </c>
      <c r="C70">
        <f>'ORDER FORM'!$E$4</f>
        <v>0</v>
      </c>
      <c r="D70" s="95">
        <f>'ORDER FORM'!$H$50</f>
        <v>0</v>
      </c>
      <c r="E70">
        <f>'ORDER FORM'!$D$8</f>
        <v>0</v>
      </c>
      <c r="F70" t="s">
        <v>51</v>
      </c>
      <c r="G70">
        <f>'ORDER FORM'!$L$50</f>
        <v>0</v>
      </c>
      <c r="H70">
        <f>'ORDER FORM'!$D$11</f>
        <v>0</v>
      </c>
      <c r="I70" s="282">
        <f>'ORDER FORM'!$I$50</f>
        <v>0</v>
      </c>
      <c r="J70" s="282">
        <f>'ORDER FORM'!$K$50</f>
        <v>0</v>
      </c>
      <c r="P70" t="s">
        <v>563</v>
      </c>
      <c r="R70">
        <f>'ORDER FORM'!$K$12</f>
        <v>0</v>
      </c>
      <c r="AC70" t="str">
        <f>'ORDER FORM'!$D$12</f>
        <v>Standard sanding</v>
      </c>
    </row>
    <row r="71" spans="1:29" x14ac:dyDescent="0.15">
      <c r="A71" s="95">
        <f>'ORDER FORM'!$H$55</f>
        <v>0</v>
      </c>
      <c r="B71" t="str">
        <f>'ORDER FORM'!$D$7</f>
        <v>Cabinetmart Inc</v>
      </c>
      <c r="C71">
        <f>'ORDER FORM'!$E$4</f>
        <v>0</v>
      </c>
      <c r="D71" s="95">
        <f>'ORDER FORM'!$H$55</f>
        <v>0</v>
      </c>
      <c r="E71">
        <f>'ORDER FORM'!$D$8</f>
        <v>0</v>
      </c>
      <c r="F71" t="s">
        <v>564</v>
      </c>
      <c r="G71" t="str">
        <f>'ORDER FORM'!$L$55</f>
        <v>5/8"</v>
      </c>
      <c r="H71">
        <f>'ORDER FORM'!$L$53</f>
        <v>0</v>
      </c>
      <c r="I71" s="282">
        <f>'ORDER FORM'!$I$55</f>
        <v>0</v>
      </c>
      <c r="J71" s="283">
        <f>'ORDER FORM'!$J$55</f>
        <v>0</v>
      </c>
      <c r="P71" t="s">
        <v>565</v>
      </c>
      <c r="AC71" t="str">
        <f>'ORDER FORM'!$D$12</f>
        <v>Standard sanding</v>
      </c>
    </row>
    <row r="72" spans="1:29" x14ac:dyDescent="0.15">
      <c r="A72" s="95">
        <f>'ORDER FORM'!$H$56</f>
        <v>0</v>
      </c>
      <c r="B72" t="str">
        <f>'ORDER FORM'!$D$7</f>
        <v>Cabinetmart Inc</v>
      </c>
      <c r="C72">
        <f>'ORDER FORM'!$E$4</f>
        <v>0</v>
      </c>
      <c r="D72" s="95">
        <f>'ORDER FORM'!$H$56</f>
        <v>0</v>
      </c>
      <c r="E72">
        <f>'ORDER FORM'!$D$8</f>
        <v>0</v>
      </c>
      <c r="F72" t="s">
        <v>564</v>
      </c>
      <c r="G72" t="str">
        <f>'ORDER FORM'!$L$56</f>
        <v>5/8"</v>
      </c>
      <c r="H72">
        <f>'ORDER FORM'!$L$53</f>
        <v>0</v>
      </c>
      <c r="I72" s="282">
        <f>'ORDER FORM'!$I$56</f>
        <v>0</v>
      </c>
      <c r="J72" s="283">
        <f>'ORDER FORM'!$J$56</f>
        <v>0</v>
      </c>
      <c r="P72" t="s">
        <v>565</v>
      </c>
      <c r="AC72" t="str">
        <f>'ORDER FORM'!$D$12</f>
        <v>Standard sanding</v>
      </c>
    </row>
    <row r="73" spans="1:29" x14ac:dyDescent="0.15">
      <c r="A73" s="95">
        <f>'ORDER FORM'!$H$57</f>
        <v>0</v>
      </c>
      <c r="B73" t="str">
        <f>'ORDER FORM'!$D$7</f>
        <v>Cabinetmart Inc</v>
      </c>
      <c r="C73">
        <f>'ORDER FORM'!$E$4</f>
        <v>0</v>
      </c>
      <c r="D73" s="95">
        <f>'ORDER FORM'!$H$57</f>
        <v>0</v>
      </c>
      <c r="E73">
        <f>'ORDER FORM'!$D$8</f>
        <v>0</v>
      </c>
      <c r="F73" t="s">
        <v>564</v>
      </c>
      <c r="G73" t="str">
        <f>'ORDER FORM'!$L$57</f>
        <v>5/8"</v>
      </c>
      <c r="H73">
        <f>'ORDER FORM'!$L$53</f>
        <v>0</v>
      </c>
      <c r="I73" s="282">
        <f>'ORDER FORM'!$I$57</f>
        <v>0</v>
      </c>
      <c r="J73" s="283">
        <f>'ORDER FORM'!$J$57</f>
        <v>0</v>
      </c>
      <c r="P73" t="s">
        <v>565</v>
      </c>
      <c r="AC73" t="str">
        <f>'ORDER FORM'!$D$12</f>
        <v>Standard sanding</v>
      </c>
    </row>
    <row r="74" spans="1:29" x14ac:dyDescent="0.15">
      <c r="A74" s="95">
        <f>'ORDER FORM'!$H$58</f>
        <v>0</v>
      </c>
      <c r="B74" t="str">
        <f>'ORDER FORM'!$D$7</f>
        <v>Cabinetmart Inc</v>
      </c>
      <c r="C74">
        <f>'ORDER FORM'!$E$4</f>
        <v>0</v>
      </c>
      <c r="D74" s="95">
        <f>'ORDER FORM'!$H$58</f>
        <v>0</v>
      </c>
      <c r="E74">
        <f>'ORDER FORM'!$D$8</f>
        <v>0</v>
      </c>
      <c r="F74" t="s">
        <v>564</v>
      </c>
      <c r="G74" t="str">
        <f>'ORDER FORM'!$L$58</f>
        <v>5/8"</v>
      </c>
      <c r="H74">
        <f>'ORDER FORM'!$L$53</f>
        <v>0</v>
      </c>
      <c r="I74" s="282">
        <f>'ORDER FORM'!$I$58</f>
        <v>0</v>
      </c>
      <c r="J74" s="283">
        <f>'ORDER FORM'!$J$58</f>
        <v>0</v>
      </c>
      <c r="P74" t="s">
        <v>565</v>
      </c>
      <c r="AC74" t="str">
        <f>'ORDER FORM'!$D$12</f>
        <v>Standard sanding</v>
      </c>
    </row>
    <row r="75" spans="1:29" x14ac:dyDescent="0.15">
      <c r="A75" s="95">
        <f>'ORDER FORM'!$H$59</f>
        <v>0</v>
      </c>
      <c r="B75" t="str">
        <f>'ORDER FORM'!$D$7</f>
        <v>Cabinetmart Inc</v>
      </c>
      <c r="C75">
        <f>'ORDER FORM'!$E$4</f>
        <v>0</v>
      </c>
      <c r="D75" s="95">
        <f>'ORDER FORM'!$H$59</f>
        <v>0</v>
      </c>
      <c r="E75">
        <f>'ORDER FORM'!$D$8</f>
        <v>0</v>
      </c>
      <c r="F75" t="s">
        <v>564</v>
      </c>
      <c r="G75" t="str">
        <f>'ORDER FORM'!$L$59</f>
        <v>5/8"</v>
      </c>
      <c r="H75">
        <f>'ORDER FORM'!$L$53</f>
        <v>0</v>
      </c>
      <c r="I75" s="282">
        <f>'ORDER FORM'!$I$59</f>
        <v>0</v>
      </c>
      <c r="J75" s="283">
        <f>'ORDER FORM'!$J$59</f>
        <v>0</v>
      </c>
      <c r="P75" t="s">
        <v>565</v>
      </c>
      <c r="AC75" t="str">
        <f>'ORDER FORM'!$D$12</f>
        <v>Standard sanding</v>
      </c>
    </row>
    <row r="76" spans="1:29" x14ac:dyDescent="0.15">
      <c r="I76" s="282"/>
      <c r="J76" s="283"/>
    </row>
    <row r="77" spans="1:29" x14ac:dyDescent="0.15">
      <c r="I77" s="282"/>
      <c r="J77" s="283"/>
    </row>
    <row r="78" spans="1:29" x14ac:dyDescent="0.15">
      <c r="I78" s="282"/>
      <c r="J78" s="283"/>
    </row>
    <row r="79" spans="1:29" x14ac:dyDescent="0.15">
      <c r="I79" s="282"/>
      <c r="J79" s="283"/>
    </row>
    <row r="80" spans="1:29" x14ac:dyDescent="0.15">
      <c r="I80" s="282"/>
      <c r="J80" s="283"/>
    </row>
    <row r="81" spans="9:10" x14ac:dyDescent="0.15">
      <c r="I81" s="282"/>
      <c r="J81" s="283"/>
    </row>
    <row r="82" spans="9:10" x14ac:dyDescent="0.15">
      <c r="I82" s="282"/>
      <c r="J82" s="283"/>
    </row>
  </sheetData>
  <sheetProtection password="CA8A" sheet="1" objects="1" scenarios="1" selectLockedCells="1" selectUnlockedCells="1"/>
  <phoneticPr fontId="18" type="noConversion"/>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ORDER FORM</vt:lpstr>
      <vt:lpstr>Lists</vt:lpstr>
      <vt:lpstr>Validity</vt:lpstr>
      <vt:lpstr>Sizes</vt:lpstr>
      <vt:lpstr>Summary</vt:lpstr>
      <vt:lpstr>CNC Summary</vt:lpstr>
      <vt:lpstr>Cut Specs</vt:lpstr>
      <vt:lpstr>Cut List</vt:lpstr>
      <vt:lpstr>Labels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Wood Order Form in Imperial</dc:title>
  <dc:creator>smacdonald</dc:creator>
  <dc:description>Revised Date - September 2006</dc:description>
  <cp:lastModifiedBy>Microsoft Office User</cp:lastModifiedBy>
  <cp:lastPrinted>2010-06-08T16:16:51Z</cp:lastPrinted>
  <dcterms:created xsi:type="dcterms:W3CDTF">2005-01-19T05:31:37Z</dcterms:created>
  <dcterms:modified xsi:type="dcterms:W3CDTF">2018-12-19T16:51:31Z</dcterms:modified>
</cp:coreProperties>
</file>